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erem\Desktop\WEBDEV\Sites Web\Braibant\Excels\Nouveau dossier\"/>
    </mc:Choice>
  </mc:AlternateContent>
  <xr:revisionPtr revIDLastSave="0" documentId="8_{184A52E5-BE6B-4A3A-8E7B-156D0F088015}" xr6:coauthVersionLast="44" xr6:coauthVersionMax="44" xr10:uidLastSave="{00000000-0000-0000-0000-000000000000}"/>
  <bookViews>
    <workbookView xWindow="-108" yWindow="-108" windowWidth="23256" windowHeight="12576" tabRatio="500"/>
  </bookViews>
  <sheets>
    <sheet name="TES N-1" sheetId="1" r:id="rId1"/>
    <sheet name="TES N VOLUME étape1" sheetId="2" r:id="rId2"/>
    <sheet name="TES volume étape 1bis" sheetId="3" r:id="rId3"/>
    <sheet name="TES volume étape 2" sheetId="4" r:id="rId4"/>
    <sheet name="TES Volume étape 3" sheetId="5" r:id="rId5"/>
    <sheet name="TES Valeur étape 4 base 95" sheetId="7" r:id="rId6"/>
    <sheet name="TES Valeur étape 5 base 95" sheetId="8" r:id="rId7"/>
    <sheet name="matrice production" sheetId="6" r:id="rId8"/>
    <sheet name="CALCUL EFFET COLONNE ET TEI" sheetId="10" r:id="rId9"/>
    <sheet name="TES Valeur base 2000 étape 6" sheetId="14" r:id="rId10"/>
    <sheet name="TES Valeur base 2000 étape 7" sheetId="15" r:id="rId11"/>
    <sheet name="agric" sheetId="17" r:id="rId12"/>
    <sheet name="energ" sheetId="18" r:id="rId13"/>
    <sheet name="indus1" sheetId="19" r:id="rId14"/>
    <sheet name="indus2" sheetId="20" r:id="rId15"/>
    <sheet name="BTP1" sheetId="21" r:id="rId16"/>
    <sheet name="btp2" sheetId="22" r:id="rId17"/>
    <sheet name="Serv.Mrchd1" sheetId="23" r:id="rId18"/>
    <sheet name="Serv.Mrchd2" sheetId="24" r:id="rId19"/>
    <sheet name="servNM" sheetId="25" r:id="rId20"/>
    <sheet name="cases fixées" sheetId="26" r:id="rId21"/>
    <sheet name="calcul CI FBCF industrie" sheetId="27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9" l="1"/>
  <c r="K7" i="7" s="1"/>
  <c r="F12" i="23"/>
  <c r="K9" i="7" s="1"/>
  <c r="K10" i="15"/>
  <c r="K5" i="15"/>
  <c r="K6" i="15"/>
  <c r="K8" i="7"/>
  <c r="K8" i="14"/>
  <c r="K32" i="10"/>
  <c r="K18" i="10"/>
  <c r="D6" i="14"/>
  <c r="L32" i="10"/>
  <c r="O32" i="10" s="1"/>
  <c r="M32" i="10"/>
  <c r="M18" i="10"/>
  <c r="F6" i="14" s="1"/>
  <c r="F6" i="15" s="1"/>
  <c r="N32" i="10"/>
  <c r="N18" i="10"/>
  <c r="G6" i="14" s="1"/>
  <c r="G6" i="15" s="1"/>
  <c r="D13" i="5"/>
  <c r="D20" i="5"/>
  <c r="F20" i="5" s="1"/>
  <c r="C20" i="5"/>
  <c r="B20" i="5"/>
  <c r="D19" i="19"/>
  <c r="D20" i="19"/>
  <c r="D9" i="18"/>
  <c r="C21" i="5" s="1"/>
  <c r="B21" i="5"/>
  <c r="D22" i="5"/>
  <c r="F22" i="5"/>
  <c r="I22" i="5"/>
  <c r="D24" i="19"/>
  <c r="D15" i="19"/>
  <c r="B23" i="5"/>
  <c r="J32" i="10"/>
  <c r="J18" i="10"/>
  <c r="E13" i="5"/>
  <c r="E8" i="5" s="1"/>
  <c r="E8" i="7" s="1"/>
  <c r="E7" i="5"/>
  <c r="E7" i="7" s="1"/>
  <c r="D6" i="23"/>
  <c r="C13" i="5"/>
  <c r="C9" i="5"/>
  <c r="C9" i="7"/>
  <c r="C7" i="5"/>
  <c r="C11" i="5" s="1"/>
  <c r="C7" i="7"/>
  <c r="C8" i="5"/>
  <c r="C8" i="7" s="1"/>
  <c r="C24" i="10"/>
  <c r="D24" i="10"/>
  <c r="E24" i="10"/>
  <c r="F24" i="10"/>
  <c r="B24" i="10"/>
  <c r="B11" i="10"/>
  <c r="C11" i="10"/>
  <c r="D11" i="10"/>
  <c r="E11" i="10"/>
  <c r="F11" i="10"/>
  <c r="F7" i="10"/>
  <c r="E7" i="10"/>
  <c r="D7" i="10"/>
  <c r="C7" i="10"/>
  <c r="B7" i="10"/>
  <c r="G7" i="10" s="1"/>
  <c r="D6" i="17"/>
  <c r="F6" i="17"/>
  <c r="B7" i="17"/>
  <c r="B14" i="17" s="1"/>
  <c r="D7" i="17"/>
  <c r="C8" i="17"/>
  <c r="C9" i="17" s="1"/>
  <c r="E9" i="17"/>
  <c r="C15" i="17"/>
  <c r="C10" i="17"/>
  <c r="E15" i="17"/>
  <c r="E10" i="17"/>
  <c r="C11" i="17"/>
  <c r="E11" i="17"/>
  <c r="E12" i="17"/>
  <c r="B27" i="17"/>
  <c r="D27" i="17"/>
  <c r="F27" i="17"/>
  <c r="B5" i="21"/>
  <c r="C5" i="21"/>
  <c r="E5" i="21"/>
  <c r="B6" i="21"/>
  <c r="B7" i="21"/>
  <c r="B13" i="21" s="1"/>
  <c r="D6" i="21"/>
  <c r="F6" i="21"/>
  <c r="D7" i="21"/>
  <c r="F7" i="21"/>
  <c r="E7" i="21"/>
  <c r="C8" i="21"/>
  <c r="E8" i="21"/>
  <c r="D9" i="21"/>
  <c r="C9" i="21" s="1"/>
  <c r="D10" i="21"/>
  <c r="C10" i="21"/>
  <c r="B11" i="21"/>
  <c r="C11" i="21" s="1"/>
  <c r="E11" i="21"/>
  <c r="D13" i="21"/>
  <c r="F13" i="21"/>
  <c r="E13" i="21" s="1"/>
  <c r="B5" i="22"/>
  <c r="C5" i="22"/>
  <c r="E5" i="22"/>
  <c r="D6" i="22"/>
  <c r="C6" i="22" s="1"/>
  <c r="F6" i="22"/>
  <c r="D7" i="22"/>
  <c r="F7" i="22"/>
  <c r="E7" i="22"/>
  <c r="C8" i="22"/>
  <c r="E8" i="22"/>
  <c r="D13" i="1"/>
  <c r="D8" i="5" s="1"/>
  <c r="E13" i="1"/>
  <c r="G13" i="1"/>
  <c r="D9" i="22"/>
  <c r="C9" i="22" s="1"/>
  <c r="J8" i="22"/>
  <c r="D10" i="22"/>
  <c r="C10" i="22"/>
  <c r="H10" i="22"/>
  <c r="J10" i="22"/>
  <c r="B11" i="22"/>
  <c r="C11" i="22"/>
  <c r="E11" i="22"/>
  <c r="M8" i="7"/>
  <c r="H11" i="22" s="1"/>
  <c r="J11" i="22" s="1"/>
  <c r="O8" i="7"/>
  <c r="O8" i="8" s="1"/>
  <c r="H12" i="22"/>
  <c r="J12" i="22"/>
  <c r="I12" i="22" s="1"/>
  <c r="F13" i="22"/>
  <c r="B11" i="18"/>
  <c r="B6" i="18"/>
  <c r="F15" i="18"/>
  <c r="E15" i="18" s="1"/>
  <c r="C7" i="18"/>
  <c r="D10" i="18"/>
  <c r="E10" i="18" s="1"/>
  <c r="D15" i="18"/>
  <c r="D11" i="18"/>
  <c r="C11" i="18"/>
  <c r="C12" i="18"/>
  <c r="E12" i="18"/>
  <c r="C14" i="18"/>
  <c r="B15" i="18"/>
  <c r="C15" i="18" s="1"/>
  <c r="J5" i="2"/>
  <c r="K5" i="2"/>
  <c r="M5" i="2"/>
  <c r="N5" i="2"/>
  <c r="N11" i="2" s="1"/>
  <c r="O5" i="2"/>
  <c r="O11" i="2" s="1"/>
  <c r="J6" i="2"/>
  <c r="Q6" i="2" s="1"/>
  <c r="K6" i="2"/>
  <c r="P6" i="2"/>
  <c r="D18" i="19"/>
  <c r="J7" i="2"/>
  <c r="M7" i="2"/>
  <c r="N7" i="2"/>
  <c r="O7" i="2"/>
  <c r="K8" i="2"/>
  <c r="M8" i="2"/>
  <c r="O8" i="2"/>
  <c r="D7" i="23"/>
  <c r="D9" i="23"/>
  <c r="D14" i="23"/>
  <c r="D12" i="23"/>
  <c r="D11" i="23"/>
  <c r="M9" i="2"/>
  <c r="D10" i="25"/>
  <c r="K10" i="2"/>
  <c r="D7" i="25"/>
  <c r="D8" i="25" s="1"/>
  <c r="B13" i="2"/>
  <c r="C13" i="2"/>
  <c r="C16" i="2" s="1"/>
  <c r="D13" i="2"/>
  <c r="D16" i="2" s="1"/>
  <c r="E13" i="2"/>
  <c r="E16" i="2" s="1"/>
  <c r="E25" i="2" s="1"/>
  <c r="D5" i="24"/>
  <c r="H13" i="2"/>
  <c r="B14" i="2"/>
  <c r="B16" i="2"/>
  <c r="D14" i="2"/>
  <c r="D15" i="2"/>
  <c r="D6" i="24"/>
  <c r="C6" i="24" s="1"/>
  <c r="G15" i="2"/>
  <c r="H15" i="2"/>
  <c r="H16" i="2" s="1"/>
  <c r="H25" i="2" s="1"/>
  <c r="B17" i="2"/>
  <c r="C17" i="2"/>
  <c r="D10" i="19"/>
  <c r="D8" i="24"/>
  <c r="G17" i="2" s="1"/>
  <c r="B18" i="2"/>
  <c r="B20" i="2"/>
  <c r="B25" i="2" s="1"/>
  <c r="C20" i="2"/>
  <c r="D20" i="2"/>
  <c r="B21" i="2"/>
  <c r="D22" i="2"/>
  <c r="B23" i="2"/>
  <c r="B24" i="2"/>
  <c r="C24" i="2"/>
  <c r="J5" i="3"/>
  <c r="K5" i="3"/>
  <c r="M5" i="3"/>
  <c r="N5" i="3"/>
  <c r="N11" i="3" s="1"/>
  <c r="O5" i="3"/>
  <c r="J6" i="3"/>
  <c r="K6" i="3"/>
  <c r="P6" i="3"/>
  <c r="J7" i="3"/>
  <c r="M7" i="3"/>
  <c r="N7" i="3"/>
  <c r="O7" i="3"/>
  <c r="K8" i="3"/>
  <c r="M8" i="3"/>
  <c r="O8" i="3"/>
  <c r="M9" i="3"/>
  <c r="K10" i="3"/>
  <c r="M11" i="3"/>
  <c r="B13" i="3"/>
  <c r="C13" i="3"/>
  <c r="D13" i="3"/>
  <c r="E13" i="3"/>
  <c r="B20" i="3"/>
  <c r="C20" i="3"/>
  <c r="D20" i="3"/>
  <c r="B21" i="3"/>
  <c r="D22" i="3"/>
  <c r="B23" i="3"/>
  <c r="H13" i="3"/>
  <c r="H16" i="3"/>
  <c r="H25" i="3"/>
  <c r="B14" i="3"/>
  <c r="D14" i="3"/>
  <c r="D15" i="3"/>
  <c r="G15" i="3"/>
  <c r="H15" i="3"/>
  <c r="C16" i="3"/>
  <c r="D16" i="3"/>
  <c r="E16" i="3"/>
  <c r="E25" i="3" s="1"/>
  <c r="B17" i="3"/>
  <c r="C17" i="3"/>
  <c r="G17" i="3"/>
  <c r="B18" i="3"/>
  <c r="B24" i="3"/>
  <c r="C24" i="3"/>
  <c r="I5" i="4"/>
  <c r="J5" i="4"/>
  <c r="K5" i="4"/>
  <c r="M5" i="4"/>
  <c r="N5" i="4"/>
  <c r="O5" i="4"/>
  <c r="I6" i="4"/>
  <c r="J6" i="4"/>
  <c r="Q6" i="4" s="1"/>
  <c r="K6" i="4"/>
  <c r="P6" i="4"/>
  <c r="J7" i="4"/>
  <c r="K7" i="4"/>
  <c r="M7" i="4"/>
  <c r="N7" i="4"/>
  <c r="O7" i="4"/>
  <c r="K8" i="4"/>
  <c r="M8" i="4"/>
  <c r="O8" i="4"/>
  <c r="M9" i="4"/>
  <c r="K10" i="4"/>
  <c r="B11" i="4"/>
  <c r="H11" i="4"/>
  <c r="B13" i="4"/>
  <c r="C13" i="4"/>
  <c r="C16" i="4" s="1"/>
  <c r="D13" i="4"/>
  <c r="D16" i="4" s="1"/>
  <c r="E13" i="4"/>
  <c r="E16" i="4" s="1"/>
  <c r="E25" i="4" s="1"/>
  <c r="B20" i="4"/>
  <c r="C20" i="4"/>
  <c r="D20" i="4"/>
  <c r="B21" i="4"/>
  <c r="D22" i="4"/>
  <c r="F22" i="4"/>
  <c r="I22" i="4"/>
  <c r="B23" i="4"/>
  <c r="H13" i="4"/>
  <c r="H16" i="4" s="1"/>
  <c r="H25" i="4" s="1"/>
  <c r="B14" i="4"/>
  <c r="I14" i="4" s="1"/>
  <c r="D14" i="4"/>
  <c r="D15" i="4"/>
  <c r="I15" i="4" s="1"/>
  <c r="G15" i="4"/>
  <c r="H15" i="4"/>
  <c r="B17" i="4"/>
  <c r="C17" i="4"/>
  <c r="G17" i="4"/>
  <c r="B18" i="4"/>
  <c r="B24" i="4"/>
  <c r="I5" i="7"/>
  <c r="J5" i="7"/>
  <c r="K5" i="7"/>
  <c r="M5" i="7"/>
  <c r="N5" i="7"/>
  <c r="N11" i="7" s="1"/>
  <c r="O5" i="7"/>
  <c r="O11" i="7" s="1"/>
  <c r="I6" i="7"/>
  <c r="J6" i="7"/>
  <c r="K6" i="7"/>
  <c r="P6" i="7"/>
  <c r="D7" i="1"/>
  <c r="G7" i="1"/>
  <c r="J7" i="7"/>
  <c r="J7" i="14" s="1"/>
  <c r="L7" i="7"/>
  <c r="M7" i="7"/>
  <c r="N7" i="7"/>
  <c r="O7" i="7"/>
  <c r="P7" i="7"/>
  <c r="J8" i="7"/>
  <c r="Q8" i="7"/>
  <c r="D9" i="1"/>
  <c r="D9" i="5" s="1"/>
  <c r="F9" i="1"/>
  <c r="G9" i="1"/>
  <c r="F8" i="23"/>
  <c r="F10" i="23"/>
  <c r="F11" i="23"/>
  <c r="M9" i="7"/>
  <c r="P9" i="7"/>
  <c r="P10" i="8" s="1"/>
  <c r="K10" i="7"/>
  <c r="F6" i="25"/>
  <c r="F7" i="25"/>
  <c r="F8" i="25"/>
  <c r="F12" i="25"/>
  <c r="B11" i="7"/>
  <c r="B12" i="7" s="1"/>
  <c r="H11" i="7"/>
  <c r="B13" i="7"/>
  <c r="D13" i="7"/>
  <c r="E13" i="7"/>
  <c r="B20" i="7"/>
  <c r="F20" i="7" s="1"/>
  <c r="C20" i="7"/>
  <c r="D20" i="7"/>
  <c r="B21" i="7"/>
  <c r="C21" i="7"/>
  <c r="F19" i="20"/>
  <c r="F13" i="20"/>
  <c r="F16" i="20" s="1"/>
  <c r="D22" i="7"/>
  <c r="F22" i="7"/>
  <c r="B23" i="7"/>
  <c r="F15" i="20"/>
  <c r="D23" i="7"/>
  <c r="G13" i="7"/>
  <c r="G16" i="7" s="1"/>
  <c r="G25" i="7" s="1"/>
  <c r="H13" i="7"/>
  <c r="H16" i="7" s="1"/>
  <c r="H25" i="7" s="1"/>
  <c r="D14" i="7"/>
  <c r="D15" i="7"/>
  <c r="G15" i="7"/>
  <c r="H15" i="7"/>
  <c r="E16" i="7"/>
  <c r="E25" i="7" s="1"/>
  <c r="B17" i="7"/>
  <c r="I17" i="7" s="1"/>
  <c r="C17" i="7"/>
  <c r="D17" i="7"/>
  <c r="G17" i="7"/>
  <c r="B18" i="7"/>
  <c r="F11" i="20"/>
  <c r="D18" i="7" s="1"/>
  <c r="I18" i="7" s="1"/>
  <c r="I20" i="7"/>
  <c r="I22" i="7"/>
  <c r="B24" i="7"/>
  <c r="C24" i="7"/>
  <c r="C3" i="6"/>
  <c r="C17" i="6"/>
  <c r="R7" i="10"/>
  <c r="D17" i="6"/>
  <c r="S7" i="10"/>
  <c r="S18" i="10" s="1"/>
  <c r="E17" i="6"/>
  <c r="T7" i="10"/>
  <c r="T18" i="10"/>
  <c r="F17" i="6"/>
  <c r="U12" i="10" s="1"/>
  <c r="G17" i="6"/>
  <c r="D4" i="6"/>
  <c r="H4" i="6"/>
  <c r="U8" i="10"/>
  <c r="E5" i="6"/>
  <c r="H5" i="6"/>
  <c r="L9" i="10" s="1"/>
  <c r="K9" i="10"/>
  <c r="S9" i="10"/>
  <c r="U9" i="10"/>
  <c r="F6" i="6"/>
  <c r="T10" i="10"/>
  <c r="T21" i="10" s="1"/>
  <c r="V10" i="10"/>
  <c r="V21" i="10" s="1"/>
  <c r="G11" i="10"/>
  <c r="H7" i="6"/>
  <c r="K11" i="10" s="1"/>
  <c r="T11" i="10"/>
  <c r="T22" i="10" s="1"/>
  <c r="R12" i="10"/>
  <c r="T12" i="10"/>
  <c r="U19" i="10"/>
  <c r="S20" i="10"/>
  <c r="U20" i="10"/>
  <c r="G38" i="10"/>
  <c r="C6" i="8"/>
  <c r="D6" i="8"/>
  <c r="E6" i="8"/>
  <c r="F6" i="8"/>
  <c r="F21" i="8"/>
  <c r="F22" i="8"/>
  <c r="F23" i="8"/>
  <c r="I23" i="8" s="1"/>
  <c r="F24" i="8"/>
  <c r="I25" i="8" s="1"/>
  <c r="G6" i="8"/>
  <c r="B10" i="8"/>
  <c r="H10" i="8"/>
  <c r="D10" i="20"/>
  <c r="B5" i="8"/>
  <c r="C5" i="8"/>
  <c r="D5" i="8"/>
  <c r="E5" i="8"/>
  <c r="F5" i="8"/>
  <c r="G5" i="8"/>
  <c r="G5" i="15" s="1"/>
  <c r="H5" i="8"/>
  <c r="K5" i="8"/>
  <c r="L5" i="8"/>
  <c r="M5" i="8"/>
  <c r="N5" i="8"/>
  <c r="O5" i="8"/>
  <c r="B17" i="8"/>
  <c r="B19" i="8"/>
  <c r="B6" i="8"/>
  <c r="H6" i="8"/>
  <c r="L6" i="8"/>
  <c r="M6" i="8"/>
  <c r="N6" i="8"/>
  <c r="O6" i="8"/>
  <c r="P6" i="8"/>
  <c r="B7" i="8"/>
  <c r="B12" i="8" s="1"/>
  <c r="H7" i="8"/>
  <c r="J7" i="8"/>
  <c r="L7" i="8"/>
  <c r="M7" i="8"/>
  <c r="O7" i="8"/>
  <c r="P7" i="8"/>
  <c r="B8" i="8"/>
  <c r="H8" i="8"/>
  <c r="J8" i="8"/>
  <c r="K8" i="8"/>
  <c r="L8" i="8"/>
  <c r="M8" i="8"/>
  <c r="N8" i="8"/>
  <c r="P8" i="8"/>
  <c r="Q8" i="8"/>
  <c r="K10" i="8"/>
  <c r="L10" i="8"/>
  <c r="M10" i="8"/>
  <c r="N10" i="8"/>
  <c r="O10" i="8"/>
  <c r="K11" i="8"/>
  <c r="H14" i="8"/>
  <c r="I15" i="8"/>
  <c r="D16" i="8"/>
  <c r="G16" i="8"/>
  <c r="H16" i="8"/>
  <c r="C17" i="8"/>
  <c r="E17" i="8"/>
  <c r="G17" i="8"/>
  <c r="I18" i="8"/>
  <c r="I21" i="8"/>
  <c r="I5" i="14"/>
  <c r="M5" i="14"/>
  <c r="B16" i="14"/>
  <c r="B25" i="14" s="1"/>
  <c r="B18" i="14"/>
  <c r="N7" i="14"/>
  <c r="N7" i="15" s="1"/>
  <c r="N11" i="15" s="1"/>
  <c r="O7" i="14"/>
  <c r="O7" i="15" s="1"/>
  <c r="J8" i="14"/>
  <c r="M8" i="14"/>
  <c r="M8" i="15" s="1"/>
  <c r="J10" i="14"/>
  <c r="K10" i="14"/>
  <c r="B11" i="14"/>
  <c r="B12" i="14" s="1"/>
  <c r="H11" i="14"/>
  <c r="N11" i="14"/>
  <c r="O11" i="14"/>
  <c r="P11" i="14"/>
  <c r="F20" i="14"/>
  <c r="I20" i="14"/>
  <c r="F21" i="14"/>
  <c r="F22" i="14"/>
  <c r="F16" i="14" s="1"/>
  <c r="I22" i="14"/>
  <c r="F23" i="14"/>
  <c r="G13" i="14"/>
  <c r="G16" i="14"/>
  <c r="G25" i="14"/>
  <c r="H13" i="14"/>
  <c r="I14" i="14"/>
  <c r="D15" i="14"/>
  <c r="H15" i="14"/>
  <c r="C16" i="14"/>
  <c r="E16" i="14"/>
  <c r="E25" i="14"/>
  <c r="H16" i="14"/>
  <c r="H25" i="14" s="1"/>
  <c r="I17" i="14"/>
  <c r="I21" i="14"/>
  <c r="C30" i="14"/>
  <c r="D30" i="14"/>
  <c r="E30" i="14"/>
  <c r="F30" i="14"/>
  <c r="G30" i="14"/>
  <c r="B5" i="15"/>
  <c r="C5" i="15"/>
  <c r="D5" i="15"/>
  <c r="E5" i="15"/>
  <c r="F5" i="15"/>
  <c r="L5" i="15"/>
  <c r="N5" i="15"/>
  <c r="O5" i="15"/>
  <c r="P5" i="15"/>
  <c r="P11" i="15" s="1"/>
  <c r="B16" i="15"/>
  <c r="B18" i="15"/>
  <c r="L6" i="15"/>
  <c r="M6" i="15"/>
  <c r="N6" i="15"/>
  <c r="O6" i="15"/>
  <c r="P6" i="15"/>
  <c r="B7" i="15"/>
  <c r="J7" i="15"/>
  <c r="L7" i="15"/>
  <c r="M7" i="15"/>
  <c r="P7" i="15"/>
  <c r="B8" i="15"/>
  <c r="J10" i="15"/>
  <c r="F20" i="15"/>
  <c r="I20" i="15" s="1"/>
  <c r="F21" i="15"/>
  <c r="I21" i="15" s="1"/>
  <c r="F22" i="15"/>
  <c r="I22" i="15" s="1"/>
  <c r="F23" i="15"/>
  <c r="F16" i="15"/>
  <c r="G13" i="15"/>
  <c r="G16" i="15"/>
  <c r="G25" i="15" s="1"/>
  <c r="H13" i="15"/>
  <c r="I14" i="15"/>
  <c r="D15" i="15"/>
  <c r="H15" i="15"/>
  <c r="H16" i="15" s="1"/>
  <c r="H25" i="15" s="1"/>
  <c r="C16" i="15"/>
  <c r="C25" i="15" s="1"/>
  <c r="E16" i="15"/>
  <c r="E25" i="15" s="1"/>
  <c r="I17" i="15"/>
  <c r="J5" i="5"/>
  <c r="B13" i="5"/>
  <c r="B14" i="5"/>
  <c r="I14" i="5" s="1"/>
  <c r="B16" i="5"/>
  <c r="B17" i="5"/>
  <c r="B18" i="5"/>
  <c r="B24" i="5"/>
  <c r="O5" i="5"/>
  <c r="N5" i="5"/>
  <c r="M5" i="5"/>
  <c r="J6" i="5"/>
  <c r="Q6" i="5" s="1"/>
  <c r="C16" i="5"/>
  <c r="C17" i="5"/>
  <c r="P6" i="5"/>
  <c r="J7" i="5"/>
  <c r="D14" i="5"/>
  <c r="D15" i="5"/>
  <c r="D16" i="5"/>
  <c r="O7" i="5"/>
  <c r="O11" i="5" s="1"/>
  <c r="N7" i="5"/>
  <c r="M7" i="5"/>
  <c r="J8" i="5"/>
  <c r="E16" i="5"/>
  <c r="O8" i="5"/>
  <c r="M8" i="5"/>
  <c r="J9" i="5"/>
  <c r="G15" i="5"/>
  <c r="G17" i="5"/>
  <c r="M9" i="5"/>
  <c r="H13" i="5"/>
  <c r="H15" i="5"/>
  <c r="I15" i="5" s="1"/>
  <c r="B3" i="27"/>
  <c r="E3" i="27"/>
  <c r="B4" i="27"/>
  <c r="E4" i="27"/>
  <c r="B5" i="27"/>
  <c r="E5" i="27"/>
  <c r="B6" i="19"/>
  <c r="C8" i="19"/>
  <c r="D9" i="19"/>
  <c r="F9" i="19"/>
  <c r="E9" i="19"/>
  <c r="C10" i="19"/>
  <c r="F11" i="19"/>
  <c r="F16" i="19" s="1"/>
  <c r="C17" i="19"/>
  <c r="C12" i="19" s="1"/>
  <c r="E17" i="19"/>
  <c r="E12" i="19" s="1"/>
  <c r="F13" i="19"/>
  <c r="C21" i="19"/>
  <c r="C14" i="19" s="1"/>
  <c r="E14" i="19"/>
  <c r="E15" i="19"/>
  <c r="F15" i="19"/>
  <c r="C18" i="19"/>
  <c r="B6" i="20"/>
  <c r="C8" i="20"/>
  <c r="D9" i="20"/>
  <c r="F9" i="20"/>
  <c r="E9" i="20"/>
  <c r="C17" i="20"/>
  <c r="C12" i="20" s="1"/>
  <c r="E17" i="20"/>
  <c r="E12" i="20" s="1"/>
  <c r="D19" i="20"/>
  <c r="D20" i="20"/>
  <c r="C21" i="20"/>
  <c r="C14" i="20" s="1"/>
  <c r="E14" i="20"/>
  <c r="D24" i="20"/>
  <c r="E15" i="20"/>
  <c r="D18" i="20"/>
  <c r="C18" i="20" s="1"/>
  <c r="I17" i="20"/>
  <c r="I18" i="20"/>
  <c r="I19" i="20"/>
  <c r="H20" i="20"/>
  <c r="I20" i="20"/>
  <c r="H21" i="20"/>
  <c r="J21" i="20" s="1"/>
  <c r="I21" i="20"/>
  <c r="H23" i="20"/>
  <c r="H24" i="20"/>
  <c r="I24" i="20"/>
  <c r="C8" i="6"/>
  <c r="D8" i="6"/>
  <c r="E8" i="6"/>
  <c r="G8" i="6"/>
  <c r="H12" i="6"/>
  <c r="H13" i="6"/>
  <c r="H14" i="6"/>
  <c r="H15" i="6"/>
  <c r="H16" i="6"/>
  <c r="B6" i="23"/>
  <c r="C7" i="23"/>
  <c r="C9" i="23"/>
  <c r="B13" i="23"/>
  <c r="C13" i="23" s="1"/>
  <c r="E13" i="23"/>
  <c r="C14" i="23"/>
  <c r="B5" i="24"/>
  <c r="D7" i="24"/>
  <c r="D9" i="24" s="1"/>
  <c r="F7" i="24"/>
  <c r="C8" i="24"/>
  <c r="B12" i="24"/>
  <c r="D13" i="24"/>
  <c r="C13" i="24" s="1"/>
  <c r="F11" i="24"/>
  <c r="D11" i="24" s="1"/>
  <c r="C11" i="24"/>
  <c r="C12" i="24"/>
  <c r="E12" i="24"/>
  <c r="H12" i="24"/>
  <c r="J12" i="24"/>
  <c r="H13" i="24"/>
  <c r="C5" i="25"/>
  <c r="E5" i="25"/>
  <c r="C6" i="25"/>
  <c r="E6" i="25"/>
  <c r="C7" i="25"/>
  <c r="E7" i="25"/>
  <c r="C10" i="25"/>
  <c r="I5" i="5"/>
  <c r="K5" i="5"/>
  <c r="I6" i="5"/>
  <c r="K6" i="5"/>
  <c r="K8" i="5"/>
  <c r="Q8" i="5" s="1"/>
  <c r="K9" i="5"/>
  <c r="C10" i="5"/>
  <c r="E10" i="5"/>
  <c r="K10" i="5"/>
  <c r="B11" i="5"/>
  <c r="H11" i="5"/>
  <c r="E25" i="5"/>
  <c r="B5" i="1"/>
  <c r="D5" i="1"/>
  <c r="B6" i="1"/>
  <c r="D6" i="1"/>
  <c r="D11" i="1" s="1"/>
  <c r="G6" i="1"/>
  <c r="B7" i="1"/>
  <c r="I8" i="1"/>
  <c r="M8" i="1"/>
  <c r="B9" i="1"/>
  <c r="I9" i="1"/>
  <c r="Q9" i="1" s="1"/>
  <c r="M9" i="1"/>
  <c r="I10" i="1"/>
  <c r="J10" i="1" s="1"/>
  <c r="J11" i="1" s="1"/>
  <c r="C11" i="1"/>
  <c r="C12" i="1"/>
  <c r="E11" i="1"/>
  <c r="F11" i="1"/>
  <c r="F12" i="1" s="1"/>
  <c r="G11" i="1"/>
  <c r="G12" i="1" s="1"/>
  <c r="H11" i="1"/>
  <c r="H12" i="1" s="1"/>
  <c r="L11" i="1"/>
  <c r="N11" i="1"/>
  <c r="O11" i="1"/>
  <c r="P11" i="1"/>
  <c r="B13" i="1"/>
  <c r="E12" i="1"/>
  <c r="I14" i="1"/>
  <c r="I15" i="1"/>
  <c r="C16" i="1"/>
  <c r="E16" i="1"/>
  <c r="E25" i="1" s="1"/>
  <c r="F16" i="1"/>
  <c r="G16" i="1"/>
  <c r="H16" i="1"/>
  <c r="H25" i="1"/>
  <c r="I17" i="1"/>
  <c r="I18" i="1"/>
  <c r="F20" i="1"/>
  <c r="I20" i="1"/>
  <c r="F21" i="1"/>
  <c r="I21" i="1" s="1"/>
  <c r="F22" i="1"/>
  <c r="I22" i="1"/>
  <c r="F23" i="1"/>
  <c r="I23" i="1" s="1"/>
  <c r="I24" i="1"/>
  <c r="C25" i="1"/>
  <c r="G25" i="1"/>
  <c r="M11" i="5"/>
  <c r="N11" i="5"/>
  <c r="I16" i="8"/>
  <c r="I15" i="7"/>
  <c r="I15" i="3"/>
  <c r="J34" i="10"/>
  <c r="B9" i="10"/>
  <c r="K8" i="15"/>
  <c r="O12" i="8"/>
  <c r="M12" i="8"/>
  <c r="D17" i="8"/>
  <c r="I7" i="1"/>
  <c r="Q7" i="1"/>
  <c r="I5" i="1"/>
  <c r="Q5" i="1" s="1"/>
  <c r="B7" i="24"/>
  <c r="B9" i="24"/>
  <c r="B14" i="24"/>
  <c r="B10" i="24" s="1"/>
  <c r="B11" i="23"/>
  <c r="D15" i="20"/>
  <c r="J24" i="20"/>
  <c r="C25" i="14"/>
  <c r="B6" i="15"/>
  <c r="G24" i="10"/>
  <c r="F23" i="7"/>
  <c r="I24" i="7" s="1"/>
  <c r="F7" i="17"/>
  <c r="B14" i="7"/>
  <c r="I14" i="7" s="1"/>
  <c r="J33" i="10"/>
  <c r="B8" i="10"/>
  <c r="C11" i="7"/>
  <c r="C6" i="14"/>
  <c r="D6" i="15"/>
  <c r="Q7" i="7"/>
  <c r="H19" i="20"/>
  <c r="J19" i="20" s="1"/>
  <c r="Q8" i="1"/>
  <c r="M11" i="1"/>
  <c r="B8" i="23"/>
  <c r="C6" i="20"/>
  <c r="B9" i="20"/>
  <c r="C7" i="24"/>
  <c r="F25" i="1"/>
  <c r="B16" i="1"/>
  <c r="B25" i="1" s="1"/>
  <c r="Q10" i="1"/>
  <c r="C24" i="20"/>
  <c r="F17" i="8"/>
  <c r="F14" i="8" s="1"/>
  <c r="I22" i="8"/>
  <c r="R18" i="10"/>
  <c r="I11" i="22"/>
  <c r="J36" i="10"/>
  <c r="B10" i="10"/>
  <c r="C13" i="21"/>
  <c r="C7" i="21"/>
  <c r="B6" i="22"/>
  <c r="B7" i="22" s="1"/>
  <c r="N11" i="10"/>
  <c r="L11" i="10"/>
  <c r="N9" i="10"/>
  <c r="E9" i="5"/>
  <c r="E11" i="5" s="1"/>
  <c r="V9" i="10"/>
  <c r="V20" i="10"/>
  <c r="T9" i="10"/>
  <c r="T20" i="10"/>
  <c r="R9" i="10"/>
  <c r="R20" i="10" s="1"/>
  <c r="T8" i="10"/>
  <c r="T19" i="10"/>
  <c r="R8" i="10"/>
  <c r="R19" i="10"/>
  <c r="H3" i="6"/>
  <c r="K7" i="10" s="1"/>
  <c r="J11" i="10"/>
  <c r="J9" i="10"/>
  <c r="M11" i="10"/>
  <c r="M9" i="10"/>
  <c r="M7" i="10"/>
  <c r="L7" i="10"/>
  <c r="N7" i="10"/>
  <c r="B10" i="23"/>
  <c r="B16" i="7"/>
  <c r="E9" i="7"/>
  <c r="D10" i="10" s="1"/>
  <c r="C7" i="22"/>
  <c r="B13" i="22"/>
  <c r="F25" i="19"/>
  <c r="C6" i="15"/>
  <c r="F14" i="17"/>
  <c r="J7" i="10"/>
  <c r="I23" i="7"/>
  <c r="L36" i="10"/>
  <c r="B25" i="7"/>
  <c r="I14" i="8" l="1"/>
  <c r="D8" i="7"/>
  <c r="F9" i="24"/>
  <c r="E7" i="24"/>
  <c r="B13" i="8"/>
  <c r="B9" i="15"/>
  <c r="D16" i="7"/>
  <c r="B16" i="3"/>
  <c r="I14" i="3"/>
  <c r="J9" i="2"/>
  <c r="J9" i="3"/>
  <c r="Q9" i="3" s="1"/>
  <c r="J9" i="4"/>
  <c r="C11" i="23"/>
  <c r="C9" i="24"/>
  <c r="D14" i="24"/>
  <c r="H17" i="8"/>
  <c r="H16" i="5"/>
  <c r="H25" i="5" s="1"/>
  <c r="I17" i="8"/>
  <c r="C9" i="20"/>
  <c r="B16" i="20"/>
  <c r="B25" i="20" s="1"/>
  <c r="B9" i="19"/>
  <c r="B16" i="19" s="1"/>
  <c r="B25" i="19" s="1"/>
  <c r="C6" i="19"/>
  <c r="F13" i="15"/>
  <c r="F25" i="15"/>
  <c r="I24" i="14"/>
  <c r="I23" i="14"/>
  <c r="J5" i="8"/>
  <c r="J5" i="14"/>
  <c r="Q6" i="3"/>
  <c r="D12" i="1"/>
  <c r="D16" i="1"/>
  <c r="L7" i="2"/>
  <c r="L7" i="5"/>
  <c r="Q7" i="5" s="1"/>
  <c r="L7" i="3"/>
  <c r="C20" i="19"/>
  <c r="L7" i="4"/>
  <c r="F21" i="17"/>
  <c r="C20" i="20"/>
  <c r="J20" i="20"/>
  <c r="I24" i="15"/>
  <c r="I23" i="15"/>
  <c r="N8" i="10"/>
  <c r="L8" i="10"/>
  <c r="K8" i="10"/>
  <c r="J8" i="10"/>
  <c r="M8" i="10"/>
  <c r="M12" i="10" s="1"/>
  <c r="K11" i="7"/>
  <c r="K6" i="8"/>
  <c r="D12" i="25"/>
  <c r="C8" i="25"/>
  <c r="E8" i="25"/>
  <c r="D23" i="5"/>
  <c r="D23" i="4"/>
  <c r="D23" i="3"/>
  <c r="D23" i="2"/>
  <c r="K7" i="2"/>
  <c r="K7" i="5"/>
  <c r="K11" i="5" s="1"/>
  <c r="K7" i="3"/>
  <c r="K11" i="3" s="1"/>
  <c r="C19" i="19"/>
  <c r="D13" i="19"/>
  <c r="Q6" i="7"/>
  <c r="D14" i="17"/>
  <c r="E7" i="17"/>
  <c r="C7" i="17"/>
  <c r="C24" i="19"/>
  <c r="P7" i="3"/>
  <c r="P7" i="4"/>
  <c r="P7" i="2"/>
  <c r="P7" i="5"/>
  <c r="I6" i="1"/>
  <c r="Q6" i="1" s="1"/>
  <c r="B11" i="1"/>
  <c r="D9" i="7"/>
  <c r="B12" i="10"/>
  <c r="C19" i="20"/>
  <c r="D13" i="20"/>
  <c r="C13" i="20" s="1"/>
  <c r="J37" i="10"/>
  <c r="B25" i="5"/>
  <c r="K11" i="4"/>
  <c r="M11" i="4"/>
  <c r="B19" i="17"/>
  <c r="B21" i="17"/>
  <c r="G13" i="5"/>
  <c r="C6" i="23"/>
  <c r="D8" i="23"/>
  <c r="G13" i="3"/>
  <c r="G16" i="3" s="1"/>
  <c r="G25" i="3" s="1"/>
  <c r="G13" i="4"/>
  <c r="G16" i="4" s="1"/>
  <c r="G25" i="4" s="1"/>
  <c r="F25" i="20"/>
  <c r="D16" i="14"/>
  <c r="I15" i="14"/>
  <c r="F13" i="14"/>
  <c r="F25" i="14"/>
  <c r="B25" i="15"/>
  <c r="I16" i="15"/>
  <c r="H12" i="14"/>
  <c r="H5" i="15"/>
  <c r="H11" i="15" s="1"/>
  <c r="H12" i="15" s="1"/>
  <c r="H12" i="8"/>
  <c r="H13" i="8" s="1"/>
  <c r="H12" i="7"/>
  <c r="D21" i="7"/>
  <c r="L33" i="10"/>
  <c r="E11" i="7"/>
  <c r="E12" i="7" s="1"/>
  <c r="D8" i="10"/>
  <c r="D11" i="20"/>
  <c r="C10" i="20"/>
  <c r="U11" i="10"/>
  <c r="U22" i="10" s="1"/>
  <c r="H6" i="6"/>
  <c r="F8" i="6"/>
  <c r="H8" i="6" s="1"/>
  <c r="E12" i="25"/>
  <c r="E11" i="23"/>
  <c r="B16" i="4"/>
  <c r="F23" i="4"/>
  <c r="I23" i="4" s="1"/>
  <c r="N11" i="4"/>
  <c r="G13" i="2"/>
  <c r="G16" i="2" s="1"/>
  <c r="G25" i="2" s="1"/>
  <c r="C5" i="24"/>
  <c r="J11" i="2"/>
  <c r="E6" i="22"/>
  <c r="I13" i="1"/>
  <c r="H18" i="20"/>
  <c r="J18" i="20" s="1"/>
  <c r="I15" i="15"/>
  <c r="D16" i="15"/>
  <c r="I6" i="8"/>
  <c r="V7" i="10"/>
  <c r="V18" i="10" s="1"/>
  <c r="V8" i="10"/>
  <c r="V19" i="10" s="1"/>
  <c r="V12" i="10"/>
  <c r="S12" i="10"/>
  <c r="S10" i="10"/>
  <c r="S21" i="10" s="1"/>
  <c r="S11" i="10"/>
  <c r="S22" i="10" s="1"/>
  <c r="G9" i="5"/>
  <c r="G9" i="7" s="1"/>
  <c r="N7" i="8"/>
  <c r="H22" i="20"/>
  <c r="J22" i="20" s="1"/>
  <c r="O11" i="3"/>
  <c r="K9" i="2"/>
  <c r="K9" i="3"/>
  <c r="K9" i="4"/>
  <c r="C12" i="23"/>
  <c r="F11" i="18"/>
  <c r="C6" i="21"/>
  <c r="J11" i="24"/>
  <c r="J11" i="5"/>
  <c r="O11" i="15"/>
  <c r="I5" i="8"/>
  <c r="M11" i="7"/>
  <c r="J6" i="14"/>
  <c r="J6" i="8"/>
  <c r="Q6" i="8" s="1"/>
  <c r="F20" i="3"/>
  <c r="I20" i="3" s="1"/>
  <c r="P9" i="5"/>
  <c r="Q9" i="5" s="1"/>
  <c r="P9" i="2"/>
  <c r="P9" i="3"/>
  <c r="P9" i="4"/>
  <c r="L18" i="10"/>
  <c r="J13" i="24"/>
  <c r="C9" i="19"/>
  <c r="M11" i="14"/>
  <c r="M5" i="15"/>
  <c r="M11" i="15" s="1"/>
  <c r="N12" i="8"/>
  <c r="U10" i="10"/>
  <c r="U21" i="10" s="1"/>
  <c r="U7" i="10"/>
  <c r="U18" i="10" s="1"/>
  <c r="H17" i="6"/>
  <c r="R10" i="10"/>
  <c r="R21" i="10" s="1"/>
  <c r="R11" i="10"/>
  <c r="R22" i="10" s="1"/>
  <c r="D17" i="2"/>
  <c r="D17" i="5"/>
  <c r="I17" i="5" s="1"/>
  <c r="D11" i="19"/>
  <c r="D17" i="3"/>
  <c r="D17" i="4"/>
  <c r="I17" i="4" s="1"/>
  <c r="L34" i="10"/>
  <c r="D9" i="10"/>
  <c r="F23" i="3"/>
  <c r="H9" i="22"/>
  <c r="J9" i="22" s="1"/>
  <c r="J13" i="22" s="1"/>
  <c r="D13" i="22"/>
  <c r="C13" i="22" s="1"/>
  <c r="J8" i="2"/>
  <c r="Q8" i="2" s="1"/>
  <c r="J8" i="3"/>
  <c r="Q8" i="3" s="1"/>
  <c r="J8" i="4"/>
  <c r="D7" i="5"/>
  <c r="D10" i="5"/>
  <c r="H11" i="24"/>
  <c r="K9" i="14"/>
  <c r="K9" i="15" s="1"/>
  <c r="J8" i="15"/>
  <c r="Q8" i="14"/>
  <c r="Q7" i="8"/>
  <c r="V11" i="10"/>
  <c r="V22" i="10" s="1"/>
  <c r="M10" i="10"/>
  <c r="S8" i="10"/>
  <c r="S19" i="10" s="1"/>
  <c r="F11" i="25"/>
  <c r="J9" i="7"/>
  <c r="F20" i="4"/>
  <c r="O11" i="4"/>
  <c r="F22" i="3"/>
  <c r="I22" i="3" s="1"/>
  <c r="Q7" i="3"/>
  <c r="M11" i="2"/>
  <c r="E13" i="22"/>
  <c r="K7" i="14"/>
  <c r="K7" i="8"/>
  <c r="C21" i="4"/>
  <c r="C21" i="3"/>
  <c r="I20" i="5"/>
  <c r="I24" i="8"/>
  <c r="E6" i="21"/>
  <c r="C24" i="5"/>
  <c r="C25" i="5" s="1"/>
  <c r="C24" i="4"/>
  <c r="C25" i="4" s="1"/>
  <c r="C21" i="2"/>
  <c r="C25" i="2" s="1"/>
  <c r="Q9" i="7" l="1"/>
  <c r="J10" i="8"/>
  <c r="Q10" i="8" s="1"/>
  <c r="J9" i="14"/>
  <c r="F21" i="7"/>
  <c r="F16" i="7" s="1"/>
  <c r="I21" i="7"/>
  <c r="C10" i="10"/>
  <c r="K36" i="10"/>
  <c r="I13" i="15"/>
  <c r="D25" i="7"/>
  <c r="L10" i="7"/>
  <c r="L10" i="14"/>
  <c r="L11" i="8"/>
  <c r="L10" i="15"/>
  <c r="I12" i="1"/>
  <c r="I13" i="14"/>
  <c r="C12" i="25"/>
  <c r="D11" i="25"/>
  <c r="E11" i="25" s="1"/>
  <c r="D18" i="14"/>
  <c r="I18" i="14" s="1"/>
  <c r="D18" i="15"/>
  <c r="I18" i="15" s="1"/>
  <c r="D19" i="8"/>
  <c r="I19" i="8" s="1"/>
  <c r="D16" i="20"/>
  <c r="K11" i="2"/>
  <c r="Q7" i="2"/>
  <c r="K12" i="8"/>
  <c r="J11" i="7"/>
  <c r="R35" i="10" a="1"/>
  <c r="Q9" i="4"/>
  <c r="B11" i="15"/>
  <c r="D7" i="7"/>
  <c r="D11" i="5"/>
  <c r="B25" i="4"/>
  <c r="I16" i="14"/>
  <c r="F6" i="18"/>
  <c r="E11" i="18"/>
  <c r="D10" i="23"/>
  <c r="C8" i="23"/>
  <c r="E8" i="23"/>
  <c r="D21" i="17"/>
  <c r="C14" i="17"/>
  <c r="I23" i="3"/>
  <c r="I24" i="3"/>
  <c r="D25" i="4"/>
  <c r="Q9" i="2"/>
  <c r="K11" i="14"/>
  <c r="K7" i="15"/>
  <c r="K11" i="15" s="1"/>
  <c r="Q7" i="14"/>
  <c r="I11" i="1"/>
  <c r="Q11" i="1" s="1"/>
  <c r="B12" i="1"/>
  <c r="Q8" i="4"/>
  <c r="J11" i="4"/>
  <c r="F10" i="10"/>
  <c r="N36" i="10"/>
  <c r="I5" i="15"/>
  <c r="Q5" i="15" s="1"/>
  <c r="L37" i="10"/>
  <c r="I24" i="4"/>
  <c r="F20" i="17"/>
  <c r="P5" i="7" s="1"/>
  <c r="E21" i="17"/>
  <c r="I16" i="1"/>
  <c r="I25" i="1" s="1"/>
  <c r="D25" i="1"/>
  <c r="K34" i="10"/>
  <c r="C9" i="10"/>
  <c r="D12" i="10"/>
  <c r="C25" i="3"/>
  <c r="I17" i="3"/>
  <c r="D25" i="15"/>
  <c r="I25" i="15" s="1"/>
  <c r="Q7" i="4"/>
  <c r="G8" i="5"/>
  <c r="G8" i="7" s="1"/>
  <c r="G7" i="5"/>
  <c r="G16" i="5"/>
  <c r="G25" i="5" s="1"/>
  <c r="G10" i="5"/>
  <c r="D21" i="5"/>
  <c r="C13" i="19"/>
  <c r="D21" i="3"/>
  <c r="D21" i="2"/>
  <c r="D21" i="4"/>
  <c r="F21" i="4" s="1"/>
  <c r="F23" i="5"/>
  <c r="I24" i="5"/>
  <c r="I23" i="5"/>
  <c r="E14" i="17"/>
  <c r="B25" i="3"/>
  <c r="F14" i="24"/>
  <c r="E9" i="24"/>
  <c r="J5" i="15"/>
  <c r="Q5" i="14"/>
  <c r="J11" i="14"/>
  <c r="E6" i="14"/>
  <c r="O18" i="10"/>
  <c r="Q6" i="14"/>
  <c r="J6" i="15"/>
  <c r="I20" i="4"/>
  <c r="D18" i="5"/>
  <c r="I18" i="5" s="1"/>
  <c r="D16" i="19"/>
  <c r="D18" i="4"/>
  <c r="I18" i="4" s="1"/>
  <c r="D18" i="3"/>
  <c r="I18" i="3" s="1"/>
  <c r="D18" i="2"/>
  <c r="D25" i="2" s="1"/>
  <c r="I25" i="2" s="1"/>
  <c r="K10" i="10"/>
  <c r="K12" i="10" s="1"/>
  <c r="J10" i="10"/>
  <c r="J12" i="10" s="1"/>
  <c r="L10" i="10"/>
  <c r="L12" i="10" s="1"/>
  <c r="N10" i="10"/>
  <c r="N12" i="10" s="1"/>
  <c r="J11" i="3"/>
  <c r="D10" i="24"/>
  <c r="C10" i="24" s="1"/>
  <c r="C14" i="24"/>
  <c r="F16" i="4" l="1"/>
  <c r="I21" i="4"/>
  <c r="T36" i="10"/>
  <c r="S39" i="10"/>
  <c r="S37" i="10"/>
  <c r="V36" i="10"/>
  <c r="U39" i="10"/>
  <c r="U38" i="10"/>
  <c r="R37" i="10"/>
  <c r="U35" i="10"/>
  <c r="S35" i="10"/>
  <c r="T37" i="10"/>
  <c r="R35" i="10"/>
  <c r="V37" i="10"/>
  <c r="U37" i="10"/>
  <c r="T39" i="10"/>
  <c r="R36" i="10"/>
  <c r="V38" i="10"/>
  <c r="V39" i="10"/>
  <c r="S38" i="10"/>
  <c r="R39" i="10"/>
  <c r="U36" i="10"/>
  <c r="S36" i="10"/>
  <c r="T35" i="10"/>
  <c r="V35" i="10"/>
  <c r="R38" i="10"/>
  <c r="T38" i="10"/>
  <c r="L11" i="15"/>
  <c r="Q10" i="15"/>
  <c r="F13" i="7"/>
  <c r="F25" i="7"/>
  <c r="D25" i="19"/>
  <c r="C16" i="19"/>
  <c r="E16" i="19"/>
  <c r="I6" i="14"/>
  <c r="E6" i="15"/>
  <c r="F21" i="5"/>
  <c r="F16" i="5" s="1"/>
  <c r="D25" i="3"/>
  <c r="J12" i="8"/>
  <c r="E10" i="23"/>
  <c r="C10" i="23"/>
  <c r="Q9" i="14"/>
  <c r="J9" i="15"/>
  <c r="F21" i="3"/>
  <c r="F16" i="3" s="1"/>
  <c r="R5" i="14"/>
  <c r="E6" i="18"/>
  <c r="C13" i="7"/>
  <c r="K33" i="10"/>
  <c r="C8" i="10"/>
  <c r="D11" i="7"/>
  <c r="L10" i="3"/>
  <c r="L10" i="4"/>
  <c r="L10" i="5"/>
  <c r="L10" i="2"/>
  <c r="C11" i="25"/>
  <c r="L11" i="14"/>
  <c r="Q10" i="14"/>
  <c r="R11" i="14" s="1"/>
  <c r="C16" i="20"/>
  <c r="D25" i="20"/>
  <c r="E16" i="20"/>
  <c r="L12" i="8"/>
  <c r="Q11" i="8"/>
  <c r="G11" i="5"/>
  <c r="G7" i="7"/>
  <c r="Q10" i="7"/>
  <c r="L11" i="7"/>
  <c r="F9" i="10"/>
  <c r="N34" i="10"/>
  <c r="P11" i="7"/>
  <c r="Q11" i="7" s="1"/>
  <c r="O23" i="7" s="1"/>
  <c r="P5" i="8"/>
  <c r="Q5" i="7"/>
  <c r="D25" i="14"/>
  <c r="I25" i="14" s="1"/>
  <c r="B12" i="15"/>
  <c r="J11" i="15"/>
  <c r="Q11" i="14"/>
  <c r="M22" i="14" s="1"/>
  <c r="F10" i="24"/>
  <c r="E14" i="24"/>
  <c r="D20" i="17"/>
  <c r="C21" i="17"/>
  <c r="D25" i="5"/>
  <c r="F8" i="10" l="1"/>
  <c r="F12" i="10" s="1"/>
  <c r="N33" i="10"/>
  <c r="G11" i="7"/>
  <c r="G12" i="7" s="1"/>
  <c r="I6" i="15"/>
  <c r="Q6" i="15" s="1"/>
  <c r="Q10" i="2"/>
  <c r="L11" i="2"/>
  <c r="Q10" i="5"/>
  <c r="L11" i="5"/>
  <c r="F25" i="3"/>
  <c r="I25" i="3" s="1"/>
  <c r="F13" i="3"/>
  <c r="I13" i="3" s="1"/>
  <c r="I16" i="3"/>
  <c r="P5" i="2"/>
  <c r="C20" i="17"/>
  <c r="C12" i="17" s="1"/>
  <c r="P5" i="5"/>
  <c r="P5" i="3"/>
  <c r="P5" i="4"/>
  <c r="I21" i="3"/>
  <c r="Q10" i="4"/>
  <c r="L11" i="4"/>
  <c r="K37" i="10"/>
  <c r="E10" i="24"/>
  <c r="P12" i="8"/>
  <c r="Q12" i="8" s="1"/>
  <c r="Q5" i="8"/>
  <c r="R5" i="8" s="1"/>
  <c r="C25" i="20"/>
  <c r="E25" i="20"/>
  <c r="Q10" i="3"/>
  <c r="L11" i="3"/>
  <c r="I13" i="7"/>
  <c r="C16" i="7"/>
  <c r="C12" i="7"/>
  <c r="C25" i="19"/>
  <c r="E25" i="19"/>
  <c r="F13" i="5"/>
  <c r="F25" i="5"/>
  <c r="I25" i="5" s="1"/>
  <c r="I16" i="5"/>
  <c r="C12" i="10"/>
  <c r="D12" i="7"/>
  <c r="I21" i="5"/>
  <c r="F25" i="4"/>
  <c r="I25" i="4" s="1"/>
  <c r="F13" i="4"/>
  <c r="I13" i="4" s="1"/>
  <c r="I16" i="4"/>
  <c r="C25" i="7" l="1"/>
  <c r="I25" i="7" s="1"/>
  <c r="I16" i="7"/>
  <c r="P11" i="4"/>
  <c r="Q5" i="4"/>
  <c r="Q11" i="4" s="1"/>
  <c r="X27" i="10"/>
  <c r="Q5" i="3"/>
  <c r="Q11" i="3" s="1"/>
  <c r="P11" i="3"/>
  <c r="Q5" i="5"/>
  <c r="Q11" i="5" s="1"/>
  <c r="P11" i="5"/>
  <c r="I13" i="5"/>
  <c r="F9" i="5"/>
  <c r="F10" i="5"/>
  <c r="F7" i="5"/>
  <c r="F8" i="5"/>
  <c r="P11" i="2"/>
  <c r="Q5" i="2"/>
  <c r="Q11" i="2" s="1"/>
  <c r="N37" i="10"/>
  <c r="F9" i="7" l="1"/>
  <c r="I9" i="5"/>
  <c r="F11" i="5"/>
  <c r="I11" i="5" s="1"/>
  <c r="F7" i="7"/>
  <c r="I7" i="5"/>
  <c r="F8" i="7"/>
  <c r="I8" i="5"/>
  <c r="M34" i="10" l="1"/>
  <c r="F8" i="8"/>
  <c r="E9" i="10"/>
  <c r="G9" i="10" s="1"/>
  <c r="C8" i="8"/>
  <c r="I8" i="7"/>
  <c r="H8" i="22" s="1"/>
  <c r="H13" i="22" s="1"/>
  <c r="I13" i="22" s="1"/>
  <c r="E8" i="8"/>
  <c r="D8" i="8"/>
  <c r="G8" i="8"/>
  <c r="M33" i="10"/>
  <c r="E8" i="10"/>
  <c r="F11" i="7"/>
  <c r="F7" i="8"/>
  <c r="D7" i="8"/>
  <c r="I7" i="7"/>
  <c r="H17" i="20" s="1"/>
  <c r="E7" i="8"/>
  <c r="E12" i="8" s="1"/>
  <c r="E13" i="8" s="1"/>
  <c r="C7" i="8"/>
  <c r="G7" i="8"/>
  <c r="M36" i="10"/>
  <c r="E10" i="10"/>
  <c r="G10" i="10" s="1"/>
  <c r="F10" i="8"/>
  <c r="I9" i="7"/>
  <c r="H10" i="24" s="1"/>
  <c r="G10" i="8"/>
  <c r="C10" i="8"/>
  <c r="I10" i="8" s="1"/>
  <c r="D10" i="8"/>
  <c r="E10" i="8"/>
  <c r="H25" i="20" l="1"/>
  <c r="J17" i="20"/>
  <c r="J25" i="20" s="1"/>
  <c r="I25" i="20" s="1"/>
  <c r="D12" i="8"/>
  <c r="D13" i="8" s="1"/>
  <c r="I8" i="8"/>
  <c r="C12" i="8"/>
  <c r="I7" i="8"/>
  <c r="T5" i="8"/>
  <c r="I11" i="7"/>
  <c r="I12" i="7" s="1"/>
  <c r="N23" i="7" s="1"/>
  <c r="F12" i="7"/>
  <c r="O36" i="10"/>
  <c r="E12" i="10"/>
  <c r="G12" i="10" s="1"/>
  <c r="G8" i="10"/>
  <c r="B18" i="10" a="1"/>
  <c r="H14" i="24"/>
  <c r="J10" i="24"/>
  <c r="J14" i="24" s="1"/>
  <c r="F12" i="8"/>
  <c r="F13" i="8" s="1"/>
  <c r="G12" i="8"/>
  <c r="G13" i="8" s="1"/>
  <c r="M37" i="10"/>
  <c r="O33" i="10"/>
  <c r="O34" i="10"/>
  <c r="B18" i="10" l="1"/>
  <c r="B21" i="10"/>
  <c r="E19" i="10"/>
  <c r="F22" i="10"/>
  <c r="F18" i="10"/>
  <c r="F23" i="10" s="1"/>
  <c r="F25" i="10" s="1"/>
  <c r="F21" i="10"/>
  <c r="D20" i="10"/>
  <c r="D18" i="10"/>
  <c r="D23" i="10" s="1"/>
  <c r="D25" i="10" s="1"/>
  <c r="E22" i="10"/>
  <c r="B22" i="10"/>
  <c r="C22" i="10"/>
  <c r="B19" i="10"/>
  <c r="C18" i="10"/>
  <c r="D22" i="10"/>
  <c r="D19" i="10"/>
  <c r="E18" i="10"/>
  <c r="E23" i="10" s="1"/>
  <c r="E25" i="10" s="1"/>
  <c r="D21" i="10"/>
  <c r="C21" i="10"/>
  <c r="E21" i="10"/>
  <c r="F19" i="10"/>
  <c r="C19" i="10"/>
  <c r="E20" i="10"/>
  <c r="F20" i="10"/>
  <c r="C20" i="10"/>
  <c r="B20" i="10"/>
  <c r="C13" i="8"/>
  <c r="I12" i="8"/>
  <c r="O37" i="10"/>
  <c r="G19" i="10" l="1"/>
  <c r="C23" i="10"/>
  <c r="C25" i="10" s="1"/>
  <c r="I13" i="8"/>
  <c r="M22" i="8" s="1"/>
  <c r="N22" i="8"/>
  <c r="G21" i="10"/>
  <c r="G22" i="10"/>
  <c r="G20" i="10"/>
  <c r="G18" i="10"/>
  <c r="B23" i="10"/>
  <c r="B25" i="10" l="1"/>
  <c r="R30" i="10" s="1" a="1"/>
  <c r="G23" i="10"/>
  <c r="G25" i="10" s="1"/>
  <c r="S30" i="10" l="1"/>
  <c r="K39" i="10" s="1"/>
  <c r="U30" i="10"/>
  <c r="M39" i="10" s="1"/>
  <c r="R30" i="10"/>
  <c r="V30" i="10"/>
  <c r="N39" i="10" s="1"/>
  <c r="T30" i="10"/>
  <c r="L39" i="10" s="1"/>
  <c r="M38" i="10" l="1"/>
  <c r="M25" i="10"/>
  <c r="L38" i="10"/>
  <c r="L25" i="10"/>
  <c r="N38" i="10"/>
  <c r="N25" i="10"/>
  <c r="X30" i="10"/>
  <c r="J39" i="10"/>
  <c r="K38" i="10"/>
  <c r="K25" i="10"/>
  <c r="L21" i="10" l="1"/>
  <c r="L22" i="10"/>
  <c r="E9" i="14" s="1"/>
  <c r="L19" i="10"/>
  <c r="L20" i="10"/>
  <c r="E8" i="14" s="1"/>
  <c r="J38" i="10"/>
  <c r="O39" i="10"/>
  <c r="J25" i="10"/>
  <c r="N21" i="10"/>
  <c r="N22" i="10"/>
  <c r="G9" i="14" s="1"/>
  <c r="N20" i="10"/>
  <c r="G8" i="14" s="1"/>
  <c r="N19" i="10"/>
  <c r="K21" i="10"/>
  <c r="K22" i="10"/>
  <c r="D9" i="14" s="1"/>
  <c r="K20" i="10"/>
  <c r="D8" i="14" s="1"/>
  <c r="K19" i="10"/>
  <c r="M21" i="10"/>
  <c r="M22" i="10"/>
  <c r="F9" i="14" s="1"/>
  <c r="M19" i="10"/>
  <c r="M20" i="10"/>
  <c r="F8" i="14" s="1"/>
  <c r="D8" i="15" l="1"/>
  <c r="D29" i="14"/>
  <c r="O38" i="10"/>
  <c r="O25" i="10"/>
  <c r="J22" i="10"/>
  <c r="J19" i="10"/>
  <c r="J20" i="10"/>
  <c r="J21" i="10"/>
  <c r="O21" i="10" s="1"/>
  <c r="E8" i="15"/>
  <c r="E29" i="14"/>
  <c r="K23" i="10"/>
  <c r="D7" i="14"/>
  <c r="F8" i="15"/>
  <c r="F29" i="14"/>
  <c r="N23" i="10"/>
  <c r="G7" i="14"/>
  <c r="E7" i="14"/>
  <c r="L23" i="10"/>
  <c r="D9" i="15"/>
  <c r="D31" i="14"/>
  <c r="G29" i="14"/>
  <c r="G8" i="15"/>
  <c r="E9" i="15"/>
  <c r="E31" i="14"/>
  <c r="M23" i="10"/>
  <c r="F7" i="14"/>
  <c r="F31" i="14"/>
  <c r="F9" i="15"/>
  <c r="G31" i="14"/>
  <c r="G9" i="15"/>
  <c r="C7" i="14" l="1"/>
  <c r="O19" i="10"/>
  <c r="J23" i="10"/>
  <c r="O23" i="10" s="1"/>
  <c r="AA18" i="10" a="1"/>
  <c r="B32" i="10" a="1"/>
  <c r="O20" i="10"/>
  <c r="C8" i="14"/>
  <c r="C9" i="14"/>
  <c r="O22" i="10"/>
  <c r="D28" i="14"/>
  <c r="D32" i="14" s="1"/>
  <c r="D7" i="15"/>
  <c r="D11" i="15" s="1"/>
  <c r="D12" i="15" s="1"/>
  <c r="D11" i="14"/>
  <c r="D12" i="14" s="1"/>
  <c r="G7" i="15"/>
  <c r="G11" i="15" s="1"/>
  <c r="G12" i="15" s="1"/>
  <c r="G28" i="14"/>
  <c r="G32" i="14" s="1"/>
  <c r="G11" i="14"/>
  <c r="G12" i="14" s="1"/>
  <c r="F28" i="14"/>
  <c r="F32" i="14" s="1"/>
  <c r="F7" i="15"/>
  <c r="F11" i="15" s="1"/>
  <c r="F12" i="15" s="1"/>
  <c r="F11" i="14"/>
  <c r="F12" i="14" s="1"/>
  <c r="E28" i="14"/>
  <c r="E32" i="14" s="1"/>
  <c r="E7" i="15"/>
  <c r="E11" i="15" s="1"/>
  <c r="E12" i="15" s="1"/>
  <c r="E11" i="14"/>
  <c r="E12" i="14" s="1"/>
  <c r="C31" i="14" l="1"/>
  <c r="C9" i="15"/>
  <c r="I9" i="15" s="1"/>
  <c r="Q9" i="15" s="1"/>
  <c r="I9" i="14"/>
  <c r="C8" i="15"/>
  <c r="I8" i="15" s="1"/>
  <c r="Q8" i="15" s="1"/>
  <c r="I8" i="14"/>
  <c r="C29" i="14"/>
  <c r="E34" i="10"/>
  <c r="E35" i="10"/>
  <c r="D34" i="10"/>
  <c r="C34" i="10"/>
  <c r="E33" i="10"/>
  <c r="D35" i="10"/>
  <c r="F34" i="10"/>
  <c r="F33" i="10"/>
  <c r="B34" i="10"/>
  <c r="F32" i="10"/>
  <c r="C32" i="10"/>
  <c r="C35" i="10"/>
  <c r="E36" i="10"/>
  <c r="D33" i="10"/>
  <c r="C33" i="10"/>
  <c r="B32" i="10"/>
  <c r="C36" i="10"/>
  <c r="B33" i="10"/>
  <c r="G33" i="10" s="1"/>
  <c r="D32" i="10"/>
  <c r="F35" i="10"/>
  <c r="E32" i="10"/>
  <c r="F36" i="10"/>
  <c r="B36" i="10"/>
  <c r="G36" i="10" s="1"/>
  <c r="B35" i="10"/>
  <c r="D36" i="10"/>
  <c r="AC21" i="10"/>
  <c r="AB18" i="10"/>
  <c r="AA22" i="10"/>
  <c r="AD20" i="10"/>
  <c r="AC18" i="10"/>
  <c r="AA21" i="10"/>
  <c r="AF21" i="10" s="1"/>
  <c r="AC22" i="10"/>
  <c r="AB21" i="10"/>
  <c r="AD21" i="10"/>
  <c r="AC20" i="10"/>
  <c r="AB22" i="10"/>
  <c r="AA19" i="10"/>
  <c r="AD18" i="10"/>
  <c r="AB20" i="10"/>
  <c r="AE20" i="10"/>
  <c r="AD19" i="10"/>
  <c r="AE19" i="10"/>
  <c r="AA20" i="10"/>
  <c r="AE18" i="10"/>
  <c r="AD22" i="10"/>
  <c r="AC19" i="10"/>
  <c r="AB19" i="10"/>
  <c r="AA18" i="10"/>
  <c r="AE21" i="10"/>
  <c r="AE22" i="10"/>
  <c r="C28" i="14"/>
  <c r="I7" i="14"/>
  <c r="C7" i="15"/>
  <c r="C11" i="14"/>
  <c r="G34" i="10" l="1"/>
  <c r="F37" i="10"/>
  <c r="F39" i="10" s="1"/>
  <c r="AA23" i="10"/>
  <c r="AF18" i="10"/>
  <c r="G35" i="10"/>
  <c r="G32" i="10"/>
  <c r="B37" i="10"/>
  <c r="AC23" i="10"/>
  <c r="I11" i="14"/>
  <c r="C12" i="14"/>
  <c r="I7" i="15"/>
  <c r="Q7" i="15" s="1"/>
  <c r="C11" i="15"/>
  <c r="AF19" i="10"/>
  <c r="E37" i="10"/>
  <c r="E39" i="10" s="1"/>
  <c r="AD23" i="10"/>
  <c r="AE23" i="10"/>
  <c r="AF22" i="10"/>
  <c r="C32" i="14"/>
  <c r="AF20" i="10"/>
  <c r="AB23" i="10"/>
  <c r="D37" i="10"/>
  <c r="D39" i="10" s="1"/>
  <c r="C37" i="10"/>
  <c r="C39" i="10" s="1"/>
  <c r="G37" i="10" l="1"/>
  <c r="G39" i="10" s="1"/>
  <c r="B39" i="10"/>
  <c r="AF23" i="10"/>
  <c r="C12" i="15"/>
  <c r="I11" i="15"/>
  <c r="U13" i="14"/>
  <c r="I12" i="14"/>
  <c r="L22" i="14" s="1"/>
  <c r="Q11" i="15" l="1"/>
  <c r="M22" i="15" s="1"/>
  <c r="I12" i="15"/>
  <c r="L22" i="15" s="1"/>
</calcChain>
</file>

<file path=xl/sharedStrings.xml><?xml version="1.0" encoding="utf-8"?>
<sst xmlns="http://schemas.openxmlformats.org/spreadsheetml/2006/main" count="1071" uniqueCount="207">
  <si>
    <t>TES année n-1 en prix courants</t>
  </si>
  <si>
    <t>ETAPE 1 : TES DE L'ANNEE PRÉCEDENTE EN VALEUR</t>
  </si>
  <si>
    <t>branche</t>
  </si>
  <si>
    <t>agri-</t>
  </si>
  <si>
    <t>énergie</t>
  </si>
  <si>
    <t>IND.</t>
  </si>
  <si>
    <t>const.</t>
  </si>
  <si>
    <t>comm.</t>
  </si>
  <si>
    <t>serv</t>
  </si>
  <si>
    <t>Total</t>
  </si>
  <si>
    <t>C.I.</t>
  </si>
  <si>
    <t xml:space="preserve">cons. final </t>
  </si>
  <si>
    <t>FBCF</t>
  </si>
  <si>
    <t>var. de stock</t>
  </si>
  <si>
    <t>Export</t>
  </si>
  <si>
    <t>produit</t>
  </si>
  <si>
    <t>culture</t>
  </si>
  <si>
    <t xml:space="preserve"> </t>
  </si>
  <si>
    <t>marc.</t>
  </si>
  <si>
    <t>non-m.</t>
  </si>
  <si>
    <t>IC</t>
  </si>
  <si>
    <t>ERE</t>
  </si>
  <si>
    <t>ménage</t>
  </si>
  <si>
    <t>APU</t>
  </si>
  <si>
    <t xml:space="preserve">      </t>
  </si>
  <si>
    <t>prod.</t>
  </si>
  <si>
    <t>util.</t>
  </si>
  <si>
    <t>emploi</t>
  </si>
  <si>
    <t>agriculture</t>
  </si>
  <si>
    <t>industrie</t>
  </si>
  <si>
    <t>construction</t>
  </si>
  <si>
    <t>services marchands</t>
  </si>
  <si>
    <t>services non marchands</t>
  </si>
  <si>
    <t>total CI</t>
  </si>
  <si>
    <t>valeur ajoutée</t>
  </si>
  <si>
    <t>PROD° branche</t>
  </si>
  <si>
    <t>transferts</t>
  </si>
  <si>
    <t>ventes résiduelles</t>
  </si>
  <si>
    <t>PROD° produit</t>
  </si>
  <si>
    <t>importations</t>
  </si>
  <si>
    <t>droits de douane</t>
  </si>
  <si>
    <t>marges commerciales</t>
  </si>
  <si>
    <t xml:space="preserve">  - sur CI</t>
  </si>
  <si>
    <t xml:space="preserve">  - sur CONSO FINALE</t>
  </si>
  <si>
    <t xml:space="preserve">  - sur FBCF</t>
  </si>
  <si>
    <t xml:space="preserve">  - sur exportations</t>
  </si>
  <si>
    <t>impôts sur les produits</t>
  </si>
  <si>
    <t>Total ressources</t>
  </si>
  <si>
    <t>CI</t>
  </si>
  <si>
    <t>étape 1</t>
  </si>
  <si>
    <t>TES année N en volume</t>
  </si>
  <si>
    <t>ETAPE 1 : REMPLISSAGE DES ERE</t>
  </si>
  <si>
    <t>energie</t>
  </si>
  <si>
    <t>agricullture</t>
  </si>
  <si>
    <t xml:space="preserve">  - sur cCONSO FINALE</t>
  </si>
  <si>
    <t>ETAPE 2 : INTRODUCTION DES CASES FIXEES</t>
  </si>
  <si>
    <t>étape 2</t>
  </si>
  <si>
    <t>ÉTAPE 2 : CALCUL DU TES DE EN VOLUME PAR PROJECTION DES COEFFICIENTS TECHNIQUES</t>
  </si>
  <si>
    <t>1397 = 1367 * 3213/3144</t>
  </si>
  <si>
    <t>en gris, cases fixées</t>
  </si>
  <si>
    <t>total</t>
  </si>
  <si>
    <t>branches</t>
  </si>
  <si>
    <t>commerce</t>
  </si>
  <si>
    <t>secteurs</t>
  </si>
  <si>
    <t>services</t>
  </si>
  <si>
    <t>marchands</t>
  </si>
  <si>
    <t>TES année N en valeur</t>
  </si>
  <si>
    <t>EFFET-LIGNE DE LA BASE 95</t>
  </si>
  <si>
    <t>=1699/1636</t>
  </si>
  <si>
    <t>=1,038</t>
  </si>
  <si>
    <t>PROD.</t>
  </si>
  <si>
    <t>DEM.</t>
  </si>
  <si>
    <t xml:space="preserve">PIB </t>
  </si>
  <si>
    <t>TES année N en prix courant</t>
  </si>
  <si>
    <t>EFFET-LIGNE</t>
  </si>
  <si>
    <t>=1669/1699</t>
  </si>
  <si>
    <t>=0,982</t>
  </si>
  <si>
    <t>PIB</t>
  </si>
  <si>
    <t>GOOD</t>
  </si>
  <si>
    <t>BTP</t>
  </si>
  <si>
    <t>COM</t>
  </si>
  <si>
    <t>SM</t>
  </si>
  <si>
    <t xml:space="preserve">ÉTAPE 4 : CALCUL PAR SECTEUR D’ACTIVITÉ ET SUPPRESSION DES EFFETS COLONNE </t>
  </si>
  <si>
    <t>TEI DES SNF-EI en branche</t>
  </si>
  <si>
    <t xml:space="preserve">Structure de la matrice de production </t>
  </si>
  <si>
    <t>étape pour estimer la nouvelle CI</t>
  </si>
  <si>
    <t>étape de calcul pour estimer la nouvelle CI</t>
  </si>
  <si>
    <t>structure de la matrice de production</t>
  </si>
  <si>
    <t>secteur</t>
  </si>
  <si>
    <t>constr</t>
  </si>
  <si>
    <t>(source matrice passage secteur branche)(M1)</t>
  </si>
  <si>
    <t>Structure de la matrice de prod. (M1)</t>
  </si>
  <si>
    <t>ENE</t>
  </si>
  <si>
    <t>CONS</t>
  </si>
  <si>
    <t>COM.</t>
  </si>
  <si>
    <t>total PRO</t>
  </si>
  <si>
    <t>produit matrice  = TEI * structure de matrice de Prod.</t>
  </si>
  <si>
    <t>NOUVEAU "TEI" PAR BRANCHE (FINAL)</t>
  </si>
  <si>
    <t>inverse de la matrice (M1)</t>
  </si>
  <si>
    <t>CALAGE SUR LE SIE PAC</t>
  </si>
  <si>
    <t>CI PAR SOUS-SECTEUR D'ACTIVITE</t>
  </si>
  <si>
    <t>on répartit le nouveau total de CI au prorata hors case fixée</t>
  </si>
  <si>
    <t>=-x en dehors de la diagonale</t>
  </si>
  <si>
    <t>ci SIE PAC</t>
  </si>
  <si>
    <t>différence</t>
  </si>
  <si>
    <t>=2-x sur la diagonale</t>
  </si>
  <si>
    <t>calcul de l'écart CI sur le TEI par branche</t>
  </si>
  <si>
    <t>ANCIEN TEI ( tableau page précédente )</t>
  </si>
  <si>
    <t>effets colonnes</t>
  </si>
  <si>
    <t>NOUVEAU "TEI" PAR SECTEUR (TABLEAU FINAL)</t>
  </si>
  <si>
    <t>transposé de la matrice de production</t>
  </si>
  <si>
    <t xml:space="preserve">écart </t>
  </si>
  <si>
    <t>nouv. tot.</t>
  </si>
  <si>
    <t>ETAPE (5) : CALCUL EN VALEUR après suppression des EFFETS COLONNE</t>
  </si>
  <si>
    <t>EFFET-LIGNE base 2000</t>
  </si>
  <si>
    <t>=1,031</t>
  </si>
  <si>
    <t>TES final année N en prix courant</t>
  </si>
  <si>
    <t>ETAPE (6) : CALCUL EN VALEUR après réduction des EFFETS LIGNE base 2010</t>
  </si>
  <si>
    <t>en vert chiffres modifiés par rapport à l'étape 6</t>
  </si>
  <si>
    <t>first version</t>
  </si>
  <si>
    <t>deuxième version</t>
  </si>
  <si>
    <t>valeur (N-1)</t>
  </si>
  <si>
    <t>Ind. volume</t>
  </si>
  <si>
    <t>volume N</t>
  </si>
  <si>
    <t>Indice prix</t>
  </si>
  <si>
    <t>valeur N</t>
  </si>
  <si>
    <t>indice</t>
  </si>
  <si>
    <t>Année N</t>
  </si>
  <si>
    <t>production branche (px base)</t>
  </si>
  <si>
    <t>transferts du vin</t>
  </si>
  <si>
    <t>production produit (px base)</t>
  </si>
  <si>
    <t>marges distribution sur CI</t>
  </si>
  <si>
    <t xml:space="preserve">marges distribution s/ conso.mmation </t>
  </si>
  <si>
    <t>marges sur exports</t>
  </si>
  <si>
    <t>subventions sur produits</t>
  </si>
  <si>
    <t>consommation intermédiaire</t>
  </si>
  <si>
    <t>dépense de consommation des ménages</t>
  </si>
  <si>
    <t>variations stocks producteur</t>
  </si>
  <si>
    <t>variations stocks util+comm</t>
  </si>
  <si>
    <t>exportations</t>
  </si>
  <si>
    <t>Total emplois</t>
  </si>
  <si>
    <t>livraisons (=Ventes)</t>
  </si>
  <si>
    <t>100.9</t>
  </si>
  <si>
    <t>104.1</t>
  </si>
  <si>
    <t>production</t>
  </si>
  <si>
    <t>Ind vol</t>
  </si>
  <si>
    <t>Ind prix</t>
  </si>
  <si>
    <t>Subventions</t>
  </si>
  <si>
    <t xml:space="preserve">valeur </t>
  </si>
  <si>
    <t>volume</t>
  </si>
  <si>
    <t xml:space="preserve"> prix N-1</t>
  </si>
  <si>
    <t xml:space="preserve">prix </t>
  </si>
  <si>
    <t>prix N</t>
  </si>
  <si>
    <t>production produit (prix de base)</t>
  </si>
  <si>
    <t>marges sur CI</t>
  </si>
  <si>
    <t>marges  surconsommation finale</t>
  </si>
  <si>
    <t>impôts sur produits</t>
  </si>
  <si>
    <t>dépense de conso des ménages</t>
  </si>
  <si>
    <t>production branche</t>
  </si>
  <si>
    <t>production produit</t>
  </si>
  <si>
    <t>marges distribut° sur CI</t>
  </si>
  <si>
    <t>marges distribut° s/conso finale</t>
  </si>
  <si>
    <t>marges distribution sur FBCF</t>
  </si>
  <si>
    <t>CI Sous-traitance</t>
  </si>
  <si>
    <t>dépense de conso ménages</t>
  </si>
  <si>
    <t>dépense de conso des APU</t>
  </si>
  <si>
    <t>Equilibre ressources-emplois PRODUITS INDUSTRIELS  (hors TVA)</t>
  </si>
  <si>
    <t>première version</t>
  </si>
  <si>
    <t>n-1</t>
  </si>
  <si>
    <t>CI Sous traitance</t>
  </si>
  <si>
    <t>variations stocks utilisateur + commerce</t>
  </si>
  <si>
    <t>Equilibre ressources-emplois PRODUITS DE LA CONSTRUCTION (hors TVA)</t>
  </si>
  <si>
    <t>Equilibre ressources-emplois SERVICES MARCHANDS (hors TVA)</t>
  </si>
  <si>
    <t xml:space="preserve">dépense de conso </t>
  </si>
  <si>
    <t xml:space="preserve">    -  des ménages (1)</t>
  </si>
  <si>
    <t xml:space="preserve">    -  des APU</t>
  </si>
  <si>
    <t>(1) paiements partiels</t>
  </si>
  <si>
    <t>produits</t>
  </si>
  <si>
    <t>prix courants</t>
  </si>
  <si>
    <t xml:space="preserve">prix année N-1 </t>
  </si>
  <si>
    <t>Valeurs aux prix de l'année</t>
  </si>
  <si>
    <t>N</t>
  </si>
  <si>
    <t>N-1</t>
  </si>
  <si>
    <t xml:space="preserve">services marchands </t>
  </si>
  <si>
    <t>agric</t>
  </si>
  <si>
    <t>commerc</t>
  </si>
  <si>
    <t>APU-SNM</t>
  </si>
  <si>
    <t>valeur N-1</t>
  </si>
  <si>
    <t>Ind val</t>
  </si>
  <si>
    <t>année N-1</t>
  </si>
  <si>
    <t>année N en volume</t>
  </si>
  <si>
    <t>marges</t>
  </si>
  <si>
    <t>hors marges</t>
  </si>
  <si>
    <t>CI ESANE PAC</t>
  </si>
  <si>
    <t>CALAGE SUR LE ESANE PAC</t>
  </si>
  <si>
    <t>(issu de l'étape 4)</t>
  </si>
  <si>
    <t>=1699/1648</t>
  </si>
  <si>
    <t>ÉTAPE 3 : APPARITION DES "EFFETS-LIGNE"  DE LA BASE 95</t>
  </si>
  <si>
    <t>multiplication des CI en volume par les indices de prix des produits</t>
  </si>
  <si>
    <t>par exmple 45 = 43 * 1,041 où 1,041 est l'indice de prix de la CI de l'industrie</t>
  </si>
  <si>
    <t>ETAPE 6 : REDUCTION DES EFFETS LIGNES ET CALCUL DU PIB EN BASE 95</t>
  </si>
  <si>
    <t>étap4</t>
  </si>
  <si>
    <t>prod*</t>
  </si>
  <si>
    <t>deman.</t>
  </si>
  <si>
    <t>ERE agriculture</t>
  </si>
  <si>
    <t>ERE énergie</t>
  </si>
  <si>
    <t>Equilibre ressources-emplois SERVICESNON MARCHANDS (hors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</si>
</sst>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&quot;&quot;;&quot;&quot;;&quot;&quot;;&quot;&quot;"/>
    <numFmt numFmtId="167" formatCode="0.0"/>
    <numFmt numFmtId="168" formatCode="0.00000"/>
    <numFmt numFmtId="169" formatCode="0.000"/>
    <numFmt numFmtId="170" formatCode="#,##0.000"/>
    <numFmt numFmtId="171" formatCode="#,##0.0"/>
  </numFmts>
  <fonts count="42" x14ac:knownFonts="1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32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2"/>
      <color indexed="41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i/>
      <sz val="18"/>
      <name val="Arial"/>
      <family val="2"/>
    </font>
    <font>
      <sz val="26"/>
      <name val="Arial"/>
      <family val="2"/>
    </font>
    <font>
      <sz val="14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5"/>
        <bgColor indexed="24"/>
      </patternFill>
    </fill>
    <fill>
      <patternFill patternType="solid">
        <fgColor indexed="47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4"/>
      </patternFill>
    </fill>
    <fill>
      <patternFill patternType="solid">
        <fgColor indexed="24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14"/>
        <bgColor indexed="24"/>
      </patternFill>
    </fill>
    <fill>
      <patternFill patternType="solid">
        <fgColor indexed="11"/>
        <bgColor indexed="43"/>
      </patternFill>
    </fill>
    <fill>
      <patternFill patternType="solid">
        <fgColor indexed="9"/>
        <bgColor indexed="43"/>
      </patternFill>
    </fill>
    <fill>
      <patternFill patternType="solid">
        <fgColor indexed="14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42"/>
      </patternFill>
    </fill>
    <fill>
      <patternFill patternType="solid">
        <fgColor indexed="15"/>
        <bgColor indexed="24"/>
      </patternFill>
    </fill>
    <fill>
      <patternFill patternType="solid">
        <fgColor indexed="14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7">
    <xf numFmtId="0" fontId="0" fillId="0" borderId="0" xfId="0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4" fillId="0" borderId="0" xfId="0" applyFont="1" applyFill="1"/>
    <xf numFmtId="0" fontId="15" fillId="0" borderId="1" xfId="0" applyFont="1" applyBorder="1"/>
    <xf numFmtId="0" fontId="14" fillId="0" borderId="2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/>
    <xf numFmtId="3" fontId="14" fillId="0" borderId="8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166" fontId="17" fillId="9" borderId="16" xfId="0" applyNumberFormat="1" applyFont="1" applyFill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0" fontId="16" fillId="0" borderId="22" xfId="0" applyFont="1" applyBorder="1"/>
    <xf numFmtId="3" fontId="14" fillId="0" borderId="23" xfId="0" applyNumberFormat="1" applyFon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166" fontId="17" fillId="9" borderId="22" xfId="0" applyNumberFormat="1" applyFont="1" applyFill="1" applyBorder="1" applyAlignment="1">
      <alignment horizontal="center"/>
    </xf>
    <xf numFmtId="0" fontId="16" fillId="0" borderId="24" xfId="0" applyFont="1" applyBorder="1"/>
    <xf numFmtId="3" fontId="14" fillId="0" borderId="25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166" fontId="17" fillId="9" borderId="24" xfId="0" applyNumberFormat="1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49" fontId="17" fillId="9" borderId="22" xfId="0" applyNumberFormat="1" applyFont="1" applyFill="1" applyBorder="1" applyAlignment="1">
      <alignment horizontal="center"/>
    </xf>
    <xf numFmtId="0" fontId="16" fillId="0" borderId="29" xfId="0" applyFont="1" applyBorder="1"/>
    <xf numFmtId="3" fontId="14" fillId="0" borderId="30" xfId="0" applyNumberFormat="1" applyFont="1" applyBorder="1" applyAlignment="1">
      <alignment horizontal="center"/>
    </xf>
    <xf numFmtId="3" fontId="14" fillId="0" borderId="31" xfId="0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49" fontId="17" fillId="9" borderId="33" xfId="0" applyNumberFormat="1" applyFont="1" applyFill="1" applyBorder="1" applyAlignment="1">
      <alignment horizontal="center"/>
    </xf>
    <xf numFmtId="3" fontId="14" fillId="0" borderId="34" xfId="0" applyNumberFormat="1" applyFont="1" applyBorder="1" applyAlignment="1">
      <alignment horizontal="center"/>
    </xf>
    <xf numFmtId="3" fontId="14" fillId="0" borderId="3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6" xfId="0" applyFont="1" applyBorder="1"/>
    <xf numFmtId="0" fontId="14" fillId="0" borderId="36" xfId="0" applyFont="1" applyBorder="1"/>
    <xf numFmtId="167" fontId="14" fillId="0" borderId="0" xfId="0" applyNumberFormat="1" applyFont="1" applyAlignment="1">
      <alignment horizontal="center"/>
    </xf>
    <xf numFmtId="3" fontId="14" fillId="9" borderId="25" xfId="0" applyNumberFormat="1" applyFont="1" applyFill="1" applyBorder="1" applyAlignment="1">
      <alignment horizontal="center"/>
    </xf>
    <xf numFmtId="3" fontId="14" fillId="9" borderId="26" xfId="0" applyNumberFormat="1" applyFont="1" applyFill="1" applyBorder="1" applyAlignment="1">
      <alignment horizontal="center"/>
    </xf>
    <xf numFmtId="3" fontId="14" fillId="9" borderId="24" xfId="0" applyNumberFormat="1" applyFont="1" applyFill="1" applyBorder="1" applyAlignment="1">
      <alignment horizontal="center"/>
    </xf>
    <xf numFmtId="0" fontId="16" fillId="0" borderId="36" xfId="0" applyFont="1" applyBorder="1"/>
    <xf numFmtId="3" fontId="14" fillId="0" borderId="37" xfId="0" applyNumberFormat="1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3" fontId="14" fillId="0" borderId="36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6" fillId="9" borderId="24" xfId="0" applyFont="1" applyFill="1" applyBorder="1"/>
    <xf numFmtId="0" fontId="14" fillId="0" borderId="39" xfId="0" applyFont="1" applyBorder="1"/>
    <xf numFmtId="3" fontId="14" fillId="0" borderId="40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4" fillId="0" borderId="39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Fill="1"/>
    <xf numFmtId="0" fontId="16" fillId="0" borderId="0" xfId="0" applyFont="1"/>
    <xf numFmtId="0" fontId="11" fillId="0" borderId="0" xfId="0" applyFont="1" applyAlignment="1">
      <alignment vertical="top"/>
    </xf>
    <xf numFmtId="0" fontId="16" fillId="0" borderId="12" xfId="0" applyFont="1" applyBorder="1"/>
    <xf numFmtId="3" fontId="16" fillId="0" borderId="8" xfId="0" applyNumberFormat="1" applyFont="1" applyFill="1" applyBorder="1"/>
    <xf numFmtId="3" fontId="16" fillId="0" borderId="17" xfId="0" applyNumberFormat="1" applyFont="1" applyFill="1" applyBorder="1"/>
    <xf numFmtId="3" fontId="16" fillId="0" borderId="18" xfId="0" applyNumberFormat="1" applyFont="1" applyFill="1" applyBorder="1"/>
    <xf numFmtId="3" fontId="16" fillId="0" borderId="16" xfId="0" applyNumberFormat="1" applyFont="1" applyFill="1" applyBorder="1"/>
    <xf numFmtId="3" fontId="16" fillId="0" borderId="19" xfId="0" applyNumberFormat="1" applyFont="1" applyFill="1" applyBorder="1"/>
    <xf numFmtId="3" fontId="16" fillId="0" borderId="20" xfId="0" applyNumberFormat="1" applyFont="1" applyBorder="1"/>
    <xf numFmtId="3" fontId="16" fillId="0" borderId="21" xfId="0" applyNumberFormat="1" applyFont="1" applyBorder="1"/>
    <xf numFmtId="3" fontId="16" fillId="0" borderId="23" xfId="0" applyNumberFormat="1" applyFont="1" applyFill="1" applyBorder="1"/>
    <xf numFmtId="3" fontId="16" fillId="0" borderId="21" xfId="0" applyNumberFormat="1" applyFont="1" applyFill="1" applyBorder="1"/>
    <xf numFmtId="3" fontId="16" fillId="0" borderId="22" xfId="0" applyNumberFormat="1" applyFont="1" applyFill="1" applyBorder="1"/>
    <xf numFmtId="3" fontId="16" fillId="0" borderId="25" xfId="0" applyNumberFormat="1" applyFont="1" applyFill="1" applyBorder="1"/>
    <xf numFmtId="3" fontId="16" fillId="0" borderId="26" xfId="0" applyNumberFormat="1" applyFont="1" applyFill="1" applyBorder="1"/>
    <xf numFmtId="3" fontId="16" fillId="0" borderId="27" xfId="0" applyNumberFormat="1" applyFont="1" applyFill="1" applyBorder="1"/>
    <xf numFmtId="3" fontId="16" fillId="0" borderId="24" xfId="0" applyNumberFormat="1" applyFont="1" applyFill="1" applyBorder="1"/>
    <xf numFmtId="3" fontId="16" fillId="0" borderId="28" xfId="0" applyNumberFormat="1" applyFont="1" applyBorder="1"/>
    <xf numFmtId="3" fontId="16" fillId="0" borderId="30" xfId="0" applyNumberFormat="1" applyFont="1" applyFill="1" applyBorder="1"/>
    <xf numFmtId="3" fontId="16" fillId="0" borderId="31" xfId="0" applyNumberFormat="1" applyFont="1" applyFill="1" applyBorder="1"/>
    <xf numFmtId="3" fontId="16" fillId="0" borderId="32" xfId="0" applyNumberFormat="1" applyFont="1" applyFill="1" applyBorder="1"/>
    <xf numFmtId="3" fontId="16" fillId="0" borderId="29" xfId="0" applyNumberFormat="1" applyFont="1" applyFill="1" applyBorder="1"/>
    <xf numFmtId="3" fontId="16" fillId="0" borderId="33" xfId="0" applyNumberFormat="1" applyFont="1" applyFill="1" applyBorder="1"/>
    <xf numFmtId="3" fontId="16" fillId="0" borderId="34" xfId="0" applyNumberFormat="1" applyFont="1" applyFill="1" applyBorder="1"/>
    <xf numFmtId="3" fontId="16" fillId="0" borderId="35" xfId="0" applyNumberFormat="1" applyFont="1" applyBorder="1"/>
    <xf numFmtId="3" fontId="16" fillId="0" borderId="32" xfId="0" applyNumberFormat="1" applyFont="1" applyBorder="1"/>
    <xf numFmtId="0" fontId="16" fillId="0" borderId="23" xfId="0" applyFont="1" applyFill="1" applyBorder="1"/>
    <xf numFmtId="0" fontId="16" fillId="0" borderId="19" xfId="0" applyFont="1" applyFill="1" applyBorder="1"/>
    <xf numFmtId="0" fontId="16" fillId="0" borderId="21" xfId="0" applyFont="1" applyFill="1" applyBorder="1"/>
    <xf numFmtId="0" fontId="16" fillId="0" borderId="22" xfId="0" applyFont="1" applyFill="1" applyBorder="1"/>
    <xf numFmtId="3" fontId="16" fillId="0" borderId="0" xfId="0" applyNumberFormat="1" applyFont="1"/>
    <xf numFmtId="3" fontId="16" fillId="0" borderId="42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37" xfId="0" applyNumberFormat="1" applyFont="1" applyFill="1" applyBorder="1"/>
    <xf numFmtId="3" fontId="16" fillId="0" borderId="38" xfId="0" applyNumberFormat="1" applyFont="1" applyFill="1" applyBorder="1"/>
    <xf numFmtId="3" fontId="16" fillId="0" borderId="38" xfId="0" applyNumberFormat="1" applyFont="1" applyBorder="1"/>
    <xf numFmtId="3" fontId="16" fillId="0" borderId="36" xfId="0" applyNumberFormat="1" applyFont="1" applyFill="1" applyBorder="1"/>
    <xf numFmtId="3" fontId="16" fillId="0" borderId="40" xfId="0" applyNumberFormat="1" applyFont="1" applyFill="1" applyBorder="1"/>
    <xf numFmtId="3" fontId="16" fillId="0" borderId="41" xfId="0" applyNumberFormat="1" applyFont="1" applyFill="1" applyBorder="1"/>
    <xf numFmtId="3" fontId="16" fillId="0" borderId="39" xfId="0" applyNumberFormat="1" applyFont="1" applyFill="1" applyBorder="1"/>
    <xf numFmtId="0" fontId="20" fillId="0" borderId="0" xfId="0" applyFont="1"/>
    <xf numFmtId="0" fontId="14" fillId="0" borderId="0" xfId="0" applyFont="1" applyBorder="1"/>
    <xf numFmtId="0" fontId="14" fillId="0" borderId="0" xfId="0" applyFont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3" fontId="14" fillId="10" borderId="3" xfId="0" applyNumberFormat="1" applyFont="1" applyFill="1" applyBorder="1" applyAlignment="1">
      <alignment horizontal="center"/>
    </xf>
    <xf numFmtId="3" fontId="14" fillId="10" borderId="17" xfId="0" applyNumberFormat="1" applyFont="1" applyFill="1" applyBorder="1" applyAlignment="1">
      <alignment horizontal="center"/>
    </xf>
    <xf numFmtId="3" fontId="14" fillId="10" borderId="18" xfId="0" applyNumberFormat="1" applyFont="1" applyFill="1" applyBorder="1" applyAlignment="1">
      <alignment horizontal="center"/>
    </xf>
    <xf numFmtId="3" fontId="14" fillId="10" borderId="16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22" xfId="0" applyFont="1" applyBorder="1"/>
    <xf numFmtId="3" fontId="14" fillId="10" borderId="23" xfId="0" applyNumberFormat="1" applyFont="1" applyFill="1" applyBorder="1" applyAlignment="1">
      <alignment horizontal="center"/>
    </xf>
    <xf numFmtId="3" fontId="14" fillId="10" borderId="19" xfId="0" applyNumberFormat="1" applyFont="1" applyFill="1" applyBorder="1" applyAlignment="1">
      <alignment horizontal="center"/>
    </xf>
    <xf numFmtId="3" fontId="14" fillId="10" borderId="21" xfId="0" applyNumberFormat="1" applyFont="1" applyFill="1" applyBorder="1" applyAlignment="1">
      <alignment horizontal="center"/>
    </xf>
    <xf numFmtId="3" fontId="14" fillId="10" borderId="22" xfId="0" applyNumberFormat="1" applyFont="1" applyFill="1" applyBorder="1" applyAlignment="1">
      <alignment horizontal="center"/>
    </xf>
    <xf numFmtId="3" fontId="14" fillId="0" borderId="22" xfId="0" applyNumberFormat="1" applyFont="1" applyFill="1" applyBorder="1" applyAlignment="1">
      <alignment horizontal="center"/>
    </xf>
    <xf numFmtId="3" fontId="21" fillId="10" borderId="23" xfId="0" applyNumberFormat="1" applyFont="1" applyFill="1" applyBorder="1" applyAlignment="1">
      <alignment horizontal="center"/>
    </xf>
    <xf numFmtId="3" fontId="21" fillId="11" borderId="21" xfId="0" applyNumberFormat="1" applyFont="1" applyFill="1" applyBorder="1" applyAlignment="1">
      <alignment horizontal="center"/>
    </xf>
    <xf numFmtId="0" fontId="14" fillId="0" borderId="24" xfId="0" applyFont="1" applyBorder="1"/>
    <xf numFmtId="3" fontId="21" fillId="11" borderId="27" xfId="0" applyNumberFormat="1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center"/>
    </xf>
    <xf numFmtId="3" fontId="14" fillId="0" borderId="26" xfId="0" applyNumberFormat="1" applyFont="1" applyFill="1" applyBorder="1" applyAlignment="1">
      <alignment horizontal="center"/>
    </xf>
    <xf numFmtId="0" fontId="14" fillId="0" borderId="29" xfId="0" applyFont="1" applyBorder="1"/>
    <xf numFmtId="3" fontId="21" fillId="10" borderId="30" xfId="0" applyNumberFormat="1" applyFont="1" applyFill="1" applyBorder="1" applyAlignment="1">
      <alignment horizontal="center"/>
    </xf>
    <xf numFmtId="3" fontId="14" fillId="0" borderId="31" xfId="0" applyNumberFormat="1" applyFont="1" applyFill="1" applyBorder="1" applyAlignment="1">
      <alignment horizontal="center"/>
    </xf>
    <xf numFmtId="3" fontId="21" fillId="11" borderId="31" xfId="0" applyNumberFormat="1" applyFont="1" applyFill="1" applyBorder="1" applyAlignment="1">
      <alignment horizontal="center"/>
    </xf>
    <xf numFmtId="3" fontId="14" fillId="0" borderId="33" xfId="0" applyNumberFormat="1" applyFont="1" applyFill="1" applyBorder="1" applyAlignment="1">
      <alignment horizontal="center"/>
    </xf>
    <xf numFmtId="3" fontId="14" fillId="0" borderId="3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8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4" fillId="0" borderId="23" xfId="0" applyNumberFormat="1" applyFont="1" applyFill="1" applyBorder="1" applyAlignment="1">
      <alignment horizontal="center"/>
    </xf>
    <xf numFmtId="3" fontId="14" fillId="0" borderId="21" xfId="0" applyNumberFormat="1" applyFont="1" applyFill="1" applyBorder="1" applyAlignment="1">
      <alignment horizontal="center"/>
    </xf>
    <xf numFmtId="3" fontId="14" fillId="0" borderId="30" xfId="0" applyNumberFormat="1" applyFont="1" applyFill="1" applyBorder="1" applyAlignment="1">
      <alignment horizontal="center"/>
    </xf>
    <xf numFmtId="3" fontId="14" fillId="0" borderId="32" xfId="0" applyNumberFormat="1" applyFont="1" applyFill="1" applyBorder="1" applyAlignment="1">
      <alignment horizontal="center"/>
    </xf>
    <xf numFmtId="3" fontId="14" fillId="0" borderId="29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37" xfId="0" applyNumberFormat="1" applyFont="1" applyFill="1" applyBorder="1" applyAlignment="1">
      <alignment horizontal="center"/>
    </xf>
    <xf numFmtId="3" fontId="14" fillId="0" borderId="38" xfId="0" applyNumberFormat="1" applyFont="1" applyFill="1" applyBorder="1" applyAlignment="1">
      <alignment horizontal="center"/>
    </xf>
    <xf numFmtId="3" fontId="14" fillId="0" borderId="36" xfId="0" applyNumberFormat="1" applyFont="1" applyFill="1" applyBorder="1" applyAlignment="1">
      <alignment horizontal="center"/>
    </xf>
    <xf numFmtId="0" fontId="14" fillId="9" borderId="24" xfId="0" applyFont="1" applyFill="1" applyBorder="1"/>
    <xf numFmtId="3" fontId="14" fillId="0" borderId="40" xfId="0" applyNumberFormat="1" applyFont="1" applyFill="1" applyBorder="1" applyAlignment="1">
      <alignment horizontal="center"/>
    </xf>
    <xf numFmtId="3" fontId="14" fillId="0" borderId="41" xfId="0" applyNumberFormat="1" applyFont="1" applyFill="1" applyBorder="1" applyAlignment="1">
      <alignment horizontal="center"/>
    </xf>
    <xf numFmtId="3" fontId="14" fillId="0" borderId="3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0" fontId="0" fillId="7" borderId="0" xfId="0" applyFill="1"/>
    <xf numFmtId="3" fontId="0" fillId="0" borderId="0" xfId="0" applyNumberFormat="1"/>
    <xf numFmtId="0" fontId="19" fillId="0" borderId="0" xfId="0" applyFont="1"/>
    <xf numFmtId="0" fontId="12" fillId="0" borderId="0" xfId="0" applyFont="1" applyBorder="1"/>
    <xf numFmtId="0" fontId="12" fillId="0" borderId="0" xfId="0" applyFont="1" applyFill="1"/>
    <xf numFmtId="0" fontId="12" fillId="0" borderId="0" xfId="0" applyFont="1"/>
    <xf numFmtId="0" fontId="19" fillId="0" borderId="0" xfId="0" applyFont="1" applyAlignment="1">
      <alignment vertical="top"/>
    </xf>
    <xf numFmtId="3" fontId="14" fillId="11" borderId="44" xfId="0" applyNumberFormat="1" applyFont="1" applyFill="1" applyBorder="1" applyAlignment="1">
      <alignment horizontal="center"/>
    </xf>
    <xf numFmtId="3" fontId="14" fillId="11" borderId="45" xfId="0" applyNumberFormat="1" applyFont="1" applyFill="1" applyBorder="1" applyAlignment="1">
      <alignment horizontal="center"/>
    </xf>
    <xf numFmtId="3" fontId="14" fillId="11" borderId="46" xfId="0" applyNumberFormat="1" applyFont="1" applyFill="1" applyBorder="1" applyAlignment="1">
      <alignment horizontal="center"/>
    </xf>
    <xf numFmtId="3" fontId="14" fillId="11" borderId="16" xfId="0" applyNumberFormat="1" applyFont="1" applyFill="1" applyBorder="1" applyAlignment="1">
      <alignment horizontal="center"/>
    </xf>
    <xf numFmtId="3" fontId="14" fillId="11" borderId="47" xfId="0" applyNumberFormat="1" applyFont="1" applyFill="1" applyBorder="1" applyAlignment="1">
      <alignment horizontal="center"/>
    </xf>
    <xf numFmtId="3" fontId="14" fillId="11" borderId="0" xfId="0" applyNumberFormat="1" applyFont="1" applyFill="1" applyBorder="1" applyAlignment="1">
      <alignment horizontal="center"/>
    </xf>
    <xf numFmtId="3" fontId="14" fillId="11" borderId="48" xfId="0" applyNumberFormat="1" applyFont="1" applyFill="1" applyBorder="1" applyAlignment="1">
      <alignment horizontal="center"/>
    </xf>
    <xf numFmtId="3" fontId="14" fillId="11" borderId="22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11" borderId="49" xfId="0" applyNumberFormat="1" applyFont="1" applyFill="1" applyBorder="1" applyAlignment="1">
      <alignment horizontal="center"/>
    </xf>
    <xf numFmtId="3" fontId="14" fillId="11" borderId="50" xfId="0" applyNumberFormat="1" applyFont="1" applyFill="1" applyBorder="1" applyAlignment="1">
      <alignment horizontal="center"/>
    </xf>
    <xf numFmtId="3" fontId="14" fillId="11" borderId="51" xfId="0" applyNumberFormat="1" applyFont="1" applyFill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22" fillId="12" borderId="44" xfId="0" applyFont="1" applyFill="1" applyBorder="1" applyAlignment="1"/>
    <xf numFmtId="0" fontId="22" fillId="12" borderId="45" xfId="0" applyFont="1" applyFill="1" applyBorder="1" applyAlignment="1"/>
    <xf numFmtId="0" fontId="22" fillId="12" borderId="46" xfId="0" applyFont="1" applyFill="1" applyBorder="1" applyAlignment="1">
      <alignment horizontal="center"/>
    </xf>
    <xf numFmtId="0" fontId="22" fillId="12" borderId="49" xfId="0" applyFont="1" applyFill="1" applyBorder="1" applyAlignment="1"/>
    <xf numFmtId="3" fontId="22" fillId="12" borderId="50" xfId="0" applyNumberFormat="1" applyFont="1" applyFill="1" applyBorder="1" applyAlignment="1"/>
    <xf numFmtId="3" fontId="22" fillId="12" borderId="51" xfId="0" applyNumberFormat="1" applyFont="1" applyFill="1" applyBorder="1" applyAlignment="1"/>
    <xf numFmtId="0" fontId="19" fillId="0" borderId="0" xfId="0" applyFont="1" applyFill="1"/>
    <xf numFmtId="0" fontId="19" fillId="0" borderId="0" xfId="0" applyFont="1" applyFill="1" applyBorder="1"/>
    <xf numFmtId="0" fontId="18" fillId="0" borderId="0" xfId="0" applyFont="1" applyFill="1"/>
    <xf numFmtId="0" fontId="19" fillId="0" borderId="0" xfId="0" applyFont="1" applyFill="1" applyAlignment="1">
      <alignment vertical="top"/>
    </xf>
    <xf numFmtId="3" fontId="19" fillId="0" borderId="0" xfId="0" applyNumberFormat="1" applyFont="1" applyFill="1"/>
    <xf numFmtId="0" fontId="19" fillId="0" borderId="0" xfId="0" applyNumberFormat="1" applyFont="1" applyFill="1"/>
    <xf numFmtId="2" fontId="19" fillId="0" borderId="0" xfId="0" applyNumberFormat="1" applyFont="1"/>
    <xf numFmtId="0" fontId="23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22" fillId="0" borderId="0" xfId="0" applyFont="1" applyFill="1"/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2" fillId="0" borderId="44" xfId="0" applyFont="1" applyFill="1" applyBorder="1" applyAlignment="1">
      <alignment horizontal="right"/>
    </xf>
    <xf numFmtId="0" fontId="22" fillId="0" borderId="45" xfId="0" applyFont="1" applyFill="1" applyBorder="1" applyAlignment="1">
      <alignment horizontal="center"/>
    </xf>
    <xf numFmtId="0" fontId="22" fillId="0" borderId="46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22" fillId="0" borderId="46" xfId="0" applyFont="1" applyFill="1" applyBorder="1" applyAlignment="1">
      <alignment horizontal="center"/>
    </xf>
    <xf numFmtId="0" fontId="22" fillId="0" borderId="0" xfId="0" applyFont="1" applyAlignment="1">
      <alignment vertical="top"/>
    </xf>
    <xf numFmtId="2" fontId="22" fillId="0" borderId="45" xfId="0" applyNumberFormat="1" applyFont="1" applyFill="1" applyBorder="1" applyAlignment="1">
      <alignment horizontal="center"/>
    </xf>
    <xf numFmtId="2" fontId="22" fillId="0" borderId="4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22" fillId="0" borderId="47" xfId="0" applyFont="1" applyFill="1" applyBorder="1"/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22" fillId="0" borderId="48" xfId="0" applyFont="1" applyFill="1" applyBorder="1" applyAlignment="1">
      <alignment vertical="top"/>
    </xf>
    <xf numFmtId="0" fontId="22" fillId="0" borderId="48" xfId="0" applyFont="1" applyFill="1" applyBorder="1" applyAlignment="1">
      <alignment horizontal="center" vertical="top"/>
    </xf>
    <xf numFmtId="0" fontId="22" fillId="0" borderId="47" xfId="0" applyFont="1" applyFill="1" applyBorder="1" applyAlignment="1"/>
    <xf numFmtId="2" fontId="22" fillId="0" borderId="0" xfId="0" applyNumberFormat="1" applyFont="1" applyFill="1" applyBorder="1" applyAlignment="1">
      <alignment horizontal="center" vertical="top"/>
    </xf>
    <xf numFmtId="2" fontId="22" fillId="0" borderId="0" xfId="0" applyNumberFormat="1" applyFont="1" applyFill="1" applyBorder="1" applyAlignment="1">
      <alignment vertical="top"/>
    </xf>
    <xf numFmtId="2" fontId="22" fillId="0" borderId="48" xfId="0" applyNumberFormat="1" applyFont="1" applyFill="1" applyBorder="1" applyAlignment="1">
      <alignment horizontal="center" vertical="top"/>
    </xf>
    <xf numFmtId="0" fontId="22" fillId="0" borderId="47" xfId="0" applyFont="1" applyBorder="1"/>
    <xf numFmtId="3" fontId="22" fillId="13" borderId="0" xfId="0" applyNumberFormat="1" applyFont="1" applyFill="1" applyBorder="1" applyAlignment="1">
      <alignment horizontal="center"/>
    </xf>
    <xf numFmtId="3" fontId="22" fillId="13" borderId="48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22" fillId="0" borderId="48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3" fontId="22" fillId="0" borderId="48" xfId="0" applyNumberFormat="1" applyFont="1" applyFill="1" applyBorder="1" applyAlignment="1">
      <alignment horizontal="center"/>
    </xf>
    <xf numFmtId="0" fontId="22" fillId="0" borderId="49" xfId="0" applyFont="1" applyFill="1" applyBorder="1"/>
    <xf numFmtId="3" fontId="22" fillId="0" borderId="50" xfId="0" applyNumberFormat="1" applyFont="1" applyFill="1" applyBorder="1" applyAlignment="1">
      <alignment horizontal="center"/>
    </xf>
    <xf numFmtId="3" fontId="22" fillId="0" borderId="51" xfId="0" applyNumberFormat="1" applyFont="1" applyFill="1" applyBorder="1" applyAlignment="1">
      <alignment horizontal="center"/>
    </xf>
    <xf numFmtId="4" fontId="22" fillId="0" borderId="50" xfId="0" applyNumberFormat="1" applyFont="1" applyFill="1" applyBorder="1" applyAlignment="1">
      <alignment horizontal="center"/>
    </xf>
    <xf numFmtId="2" fontId="22" fillId="0" borderId="50" xfId="0" applyNumberFormat="1" applyFont="1" applyFill="1" applyBorder="1" applyAlignment="1">
      <alignment horizontal="center"/>
    </xf>
    <xf numFmtId="2" fontId="22" fillId="0" borderId="51" xfId="0" applyNumberFormat="1" applyFont="1" applyFill="1" applyBorder="1" applyAlignment="1">
      <alignment horizontal="center"/>
    </xf>
    <xf numFmtId="0" fontId="22" fillId="0" borderId="0" xfId="0" applyFont="1" applyFill="1" applyBorder="1"/>
    <xf numFmtId="3" fontId="22" fillId="0" borderId="0" xfId="0" applyNumberFormat="1" applyFont="1" applyFill="1" applyBorder="1"/>
    <xf numFmtId="4" fontId="22" fillId="0" borderId="0" xfId="0" applyNumberFormat="1" applyFont="1" applyFill="1" applyBorder="1"/>
    <xf numFmtId="0" fontId="22" fillId="0" borderId="0" xfId="0" applyFont="1" applyBorder="1"/>
    <xf numFmtId="3" fontId="22" fillId="0" borderId="0" xfId="0" applyNumberFormat="1" applyFont="1" applyBorder="1"/>
    <xf numFmtId="0" fontId="22" fillId="10" borderId="0" xfId="0" applyFont="1" applyFill="1" applyBorder="1"/>
    <xf numFmtId="3" fontId="22" fillId="10" borderId="0" xfId="0" applyNumberFormat="1" applyFont="1" applyFill="1" applyBorder="1"/>
    <xf numFmtId="0" fontId="22" fillId="10" borderId="0" xfId="0" applyFont="1" applyFill="1"/>
    <xf numFmtId="169" fontId="22" fillId="0" borderId="44" xfId="0" applyNumberFormat="1" applyFont="1" applyFill="1" applyBorder="1" applyAlignment="1">
      <alignment horizontal="right"/>
    </xf>
    <xf numFmtId="4" fontId="15" fillId="0" borderId="0" xfId="0" applyNumberFormat="1" applyFont="1"/>
    <xf numFmtId="0" fontId="22" fillId="0" borderId="48" xfId="0" applyFont="1" applyBorder="1" applyAlignment="1">
      <alignment vertical="top"/>
    </xf>
    <xf numFmtId="169" fontId="22" fillId="0" borderId="47" xfId="0" applyNumberFormat="1" applyFont="1" applyFill="1" applyBorder="1"/>
    <xf numFmtId="2" fontId="22" fillId="0" borderId="0" xfId="0" applyNumberFormat="1" applyFont="1" applyFill="1" applyBorder="1"/>
    <xf numFmtId="2" fontId="22" fillId="0" borderId="48" xfId="0" applyNumberFormat="1" applyFont="1" applyFill="1" applyBorder="1"/>
    <xf numFmtId="3" fontId="15" fillId="0" borderId="0" xfId="0" applyNumberFormat="1" applyFont="1"/>
    <xf numFmtId="3" fontId="22" fillId="0" borderId="0" xfId="0" applyNumberFormat="1" applyFont="1" applyBorder="1" applyAlignment="1">
      <alignment horizontal="center"/>
    </xf>
    <xf numFmtId="3" fontId="22" fillId="0" borderId="48" xfId="0" applyNumberFormat="1" applyFont="1" applyBorder="1" applyAlignment="1">
      <alignment horizontal="center"/>
    </xf>
    <xf numFmtId="0" fontId="22" fillId="13" borderId="44" xfId="0" applyFont="1" applyFill="1" applyBorder="1"/>
    <xf numFmtId="167" fontId="22" fillId="10" borderId="49" xfId="0" applyNumberFormat="1" applyFont="1" applyFill="1" applyBorder="1"/>
    <xf numFmtId="1" fontId="22" fillId="10" borderId="50" xfId="0" applyNumberFormat="1" applyFont="1" applyFill="1" applyBorder="1" applyAlignment="1">
      <alignment horizontal="center"/>
    </xf>
    <xf numFmtId="1" fontId="22" fillId="10" borderId="51" xfId="0" applyNumberFormat="1" applyFont="1" applyFill="1" applyBorder="1" applyAlignment="1">
      <alignment horizontal="center"/>
    </xf>
    <xf numFmtId="0" fontId="22" fillId="10" borderId="49" xfId="0" applyFont="1" applyFill="1" applyBorder="1"/>
    <xf numFmtId="3" fontId="22" fillId="0" borderId="0" xfId="0" applyNumberFormat="1" applyFont="1"/>
    <xf numFmtId="2" fontId="22" fillId="10" borderId="0" xfId="0" applyNumberFormat="1" applyFont="1" applyFill="1"/>
    <xf numFmtId="170" fontId="23" fillId="0" borderId="0" xfId="0" applyNumberFormat="1" applyFont="1" applyFill="1" applyBorder="1"/>
    <xf numFmtId="169" fontId="22" fillId="10" borderId="44" xfId="0" applyNumberFormat="1" applyFont="1" applyFill="1" applyBorder="1" applyAlignment="1">
      <alignment horizontal="right"/>
    </xf>
    <xf numFmtId="2" fontId="22" fillId="10" borderId="45" xfId="0" applyNumberFormat="1" applyFont="1" applyFill="1" applyBorder="1" applyAlignment="1">
      <alignment horizontal="center"/>
    </xf>
    <xf numFmtId="2" fontId="22" fillId="10" borderId="46" xfId="0" applyNumberFormat="1" applyFont="1" applyFill="1" applyBorder="1" applyAlignment="1">
      <alignment horizontal="center"/>
    </xf>
    <xf numFmtId="0" fontId="22" fillId="0" borderId="44" xfId="0" applyFont="1" applyBorder="1" applyAlignment="1">
      <alignment horizontal="right"/>
    </xf>
    <xf numFmtId="167" fontId="22" fillId="10" borderId="50" xfId="0" applyNumberFormat="1" applyFont="1" applyFill="1" applyBorder="1" applyAlignment="1">
      <alignment horizontal="center"/>
    </xf>
    <xf numFmtId="167" fontId="22" fillId="10" borderId="51" xfId="0" applyNumberFormat="1" applyFont="1" applyFill="1" applyBorder="1" applyAlignment="1">
      <alignment horizontal="center"/>
    </xf>
    <xf numFmtId="2" fontId="22" fillId="0" borderId="50" xfId="0" applyNumberFormat="1" applyFont="1" applyFill="1" applyBorder="1"/>
    <xf numFmtId="2" fontId="22" fillId="0" borderId="45" xfId="0" applyNumberFormat="1" applyFont="1" applyFill="1" applyBorder="1"/>
    <xf numFmtId="2" fontId="22" fillId="0" borderId="46" xfId="0" applyNumberFormat="1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2" fontId="23" fillId="0" borderId="0" xfId="0" applyNumberFormat="1" applyFont="1"/>
    <xf numFmtId="171" fontId="22" fillId="11" borderId="0" xfId="0" applyNumberFormat="1" applyFont="1" applyFill="1" applyBorder="1" applyAlignment="1">
      <alignment horizontal="center"/>
    </xf>
    <xf numFmtId="171" fontId="22" fillId="11" borderId="48" xfId="0" applyNumberFormat="1" applyFont="1" applyFill="1" applyBorder="1" applyAlignment="1">
      <alignment horizontal="center"/>
    </xf>
    <xf numFmtId="167" fontId="22" fillId="0" borderId="49" xfId="0" applyNumberFormat="1" applyFont="1" applyFill="1" applyBorder="1"/>
    <xf numFmtId="1" fontId="22" fillId="0" borderId="50" xfId="0" applyNumberFormat="1" applyFont="1" applyFill="1" applyBorder="1" applyAlignment="1">
      <alignment horizontal="center"/>
    </xf>
    <xf numFmtId="1" fontId="22" fillId="0" borderId="51" xfId="0" applyNumberFormat="1" applyFont="1" applyFill="1" applyBorder="1" applyAlignment="1">
      <alignment horizontal="center"/>
    </xf>
    <xf numFmtId="0" fontId="22" fillId="0" borderId="49" xfId="0" applyFont="1" applyBorder="1"/>
    <xf numFmtId="3" fontId="19" fillId="0" borderId="0" xfId="0" applyNumberFormat="1" applyFont="1"/>
    <xf numFmtId="0" fontId="18" fillId="0" borderId="0" xfId="0" applyFont="1"/>
    <xf numFmtId="0" fontId="19" fillId="0" borderId="0" xfId="0" applyFont="1" applyFill="1" applyBorder="1" applyAlignment="1">
      <alignment horizontal="center"/>
    </xf>
    <xf numFmtId="0" fontId="26" fillId="0" borderId="0" xfId="0" applyFont="1" applyFill="1"/>
    <xf numFmtId="0" fontId="18" fillId="0" borderId="0" xfId="0" applyFont="1" applyAlignment="1">
      <alignment vertical="top"/>
    </xf>
    <xf numFmtId="3" fontId="14" fillId="11" borderId="3" xfId="0" applyNumberFormat="1" applyFont="1" applyFill="1" applyBorder="1" applyAlignment="1">
      <alignment horizontal="center"/>
    </xf>
    <xf numFmtId="3" fontId="14" fillId="11" borderId="17" xfId="0" applyNumberFormat="1" applyFont="1" applyFill="1" applyBorder="1" applyAlignment="1">
      <alignment horizontal="center"/>
    </xf>
    <xf numFmtId="3" fontId="14" fillId="11" borderId="18" xfId="0" applyNumberFormat="1" applyFont="1" applyFill="1" applyBorder="1" applyAlignment="1">
      <alignment horizontal="center"/>
    </xf>
    <xf numFmtId="3" fontId="14" fillId="11" borderId="10" xfId="0" applyNumberFormat="1" applyFont="1" applyFill="1" applyBorder="1" applyAlignment="1">
      <alignment horizontal="center"/>
    </xf>
    <xf numFmtId="3" fontId="18" fillId="0" borderId="0" xfId="0" applyNumberFormat="1" applyFont="1"/>
    <xf numFmtId="3" fontId="14" fillId="11" borderId="23" xfId="0" applyNumberFormat="1" applyFont="1" applyFill="1" applyBorder="1" applyAlignment="1">
      <alignment horizontal="center"/>
    </xf>
    <xf numFmtId="3" fontId="14" fillId="11" borderId="21" xfId="0" applyNumberFormat="1" applyFont="1" applyFill="1" applyBorder="1" applyAlignment="1">
      <alignment horizontal="center"/>
    </xf>
    <xf numFmtId="3" fontId="14" fillId="10" borderId="24" xfId="0" applyNumberFormat="1" applyFont="1" applyFill="1" applyBorder="1" applyAlignment="1">
      <alignment horizontal="center"/>
    </xf>
    <xf numFmtId="3" fontId="14" fillId="11" borderId="30" xfId="0" applyNumberFormat="1" applyFont="1" applyFill="1" applyBorder="1" applyAlignment="1">
      <alignment horizontal="center"/>
    </xf>
    <xf numFmtId="3" fontId="14" fillId="10" borderId="31" xfId="0" applyNumberFormat="1" applyFont="1" applyFill="1" applyBorder="1" applyAlignment="1">
      <alignment horizontal="center"/>
    </xf>
    <xf numFmtId="3" fontId="14" fillId="10" borderId="34" xfId="0" applyNumberFormat="1" applyFont="1" applyFill="1" applyBorder="1" applyAlignment="1">
      <alignment horizontal="center"/>
    </xf>
    <xf numFmtId="3" fontId="14" fillId="11" borderId="31" xfId="0" applyNumberFormat="1" applyFont="1" applyFill="1" applyBorder="1" applyAlignment="1">
      <alignment horizontal="center"/>
    </xf>
    <xf numFmtId="3" fontId="14" fillId="11" borderId="52" xfId="0" applyNumberFormat="1" applyFont="1" applyFill="1" applyBorder="1" applyAlignment="1">
      <alignment horizontal="center"/>
    </xf>
    <xf numFmtId="3" fontId="14" fillId="10" borderId="39" xfId="0" applyNumberFormat="1" applyFont="1" applyFill="1" applyBorder="1" applyAlignment="1">
      <alignment horizontal="center"/>
    </xf>
    <xf numFmtId="0" fontId="22" fillId="14" borderId="0" xfId="0" applyFont="1" applyFill="1" applyBorder="1" applyAlignment="1"/>
    <xf numFmtId="0" fontId="22" fillId="14" borderId="0" xfId="0" applyFont="1" applyFill="1" applyBorder="1" applyAlignment="1">
      <alignment horizontal="center"/>
    </xf>
    <xf numFmtId="0" fontId="22" fillId="14" borderId="0" xfId="0" applyFont="1" applyFill="1" applyAlignment="1">
      <alignment horizontal="center"/>
    </xf>
    <xf numFmtId="3" fontId="22" fillId="14" borderId="0" xfId="0" applyNumberFormat="1" applyFont="1" applyFill="1" applyAlignment="1">
      <alignment horizontal="center"/>
    </xf>
    <xf numFmtId="0" fontId="14" fillId="0" borderId="0" xfId="0" applyNumberFormat="1" applyFont="1"/>
    <xf numFmtId="3" fontId="14" fillId="0" borderId="53" xfId="0" applyNumberFormat="1" applyFont="1" applyFill="1" applyBorder="1" applyAlignment="1">
      <alignment horizontal="center"/>
    </xf>
    <xf numFmtId="3" fontId="14" fillId="0" borderId="54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0" borderId="55" xfId="0" applyNumberFormat="1" applyFont="1" applyFill="1" applyBorder="1" applyAlignment="1">
      <alignment horizontal="center"/>
    </xf>
    <xf numFmtId="3" fontId="14" fillId="0" borderId="56" xfId="0" applyNumberFormat="1" applyFont="1" applyFill="1" applyBorder="1" applyAlignment="1">
      <alignment horizontal="center"/>
    </xf>
    <xf numFmtId="3" fontId="14" fillId="15" borderId="19" xfId="0" applyNumberFormat="1" applyFont="1" applyFill="1" applyBorder="1" applyAlignment="1">
      <alignment horizontal="center"/>
    </xf>
    <xf numFmtId="3" fontId="14" fillId="15" borderId="26" xfId="0" applyNumberFormat="1" applyFont="1" applyFill="1" applyBorder="1" applyAlignment="1">
      <alignment horizontal="center"/>
    </xf>
    <xf numFmtId="3" fontId="14" fillId="0" borderId="57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3" fontId="14" fillId="0" borderId="58" xfId="0" applyNumberFormat="1" applyFont="1" applyFill="1" applyBorder="1" applyAlignment="1">
      <alignment horizontal="center"/>
    </xf>
    <xf numFmtId="3" fontId="14" fillId="0" borderId="59" xfId="0" applyNumberFormat="1" applyFont="1" applyFill="1" applyBorder="1" applyAlignment="1">
      <alignment horizontal="center"/>
    </xf>
    <xf numFmtId="3" fontId="14" fillId="0" borderId="20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19" xfId="0" applyFont="1" applyFill="1" applyBorder="1"/>
    <xf numFmtId="0" fontId="13" fillId="0" borderId="42" xfId="0" applyFont="1" applyBorder="1"/>
    <xf numFmtId="0" fontId="13" fillId="0" borderId="60" xfId="0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9" fillId="0" borderId="62" xfId="0" applyFont="1" applyBorder="1"/>
    <xf numFmtId="0" fontId="29" fillId="0" borderId="44" xfId="0" applyFont="1" applyBorder="1" applyAlignment="1">
      <alignment horizontal="center"/>
    </xf>
    <xf numFmtId="167" fontId="29" fillId="0" borderId="45" xfId="0" applyNumberFormat="1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7" fillId="0" borderId="9" xfId="0" applyFont="1" applyBorder="1"/>
    <xf numFmtId="0" fontId="27" fillId="0" borderId="17" xfId="0" applyFont="1" applyBorder="1"/>
    <xf numFmtId="0" fontId="27" fillId="0" borderId="18" xfId="0" applyFont="1" applyBorder="1"/>
    <xf numFmtId="0" fontId="13" fillId="9" borderId="63" xfId="0" applyFont="1" applyFill="1" applyBorder="1"/>
    <xf numFmtId="0" fontId="13" fillId="9" borderId="47" xfId="0" applyFont="1" applyFill="1" applyBorder="1" applyAlignment="1">
      <alignment horizontal="center"/>
    </xf>
    <xf numFmtId="167" fontId="13" fillId="9" borderId="0" xfId="0" applyNumberFormat="1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48" xfId="0" applyFont="1" applyFill="1" applyBorder="1" applyAlignment="1">
      <alignment horizontal="center"/>
    </xf>
    <xf numFmtId="0" fontId="27" fillId="9" borderId="64" xfId="0" applyFont="1" applyFill="1" applyBorder="1"/>
    <xf numFmtId="0" fontId="27" fillId="9" borderId="19" xfId="0" applyFont="1" applyFill="1" applyBorder="1"/>
    <xf numFmtId="0" fontId="27" fillId="9" borderId="21" xfId="0" applyFont="1" applyFill="1" applyBorder="1"/>
    <xf numFmtId="0" fontId="29" fillId="0" borderId="65" xfId="0" applyFont="1" applyBorder="1"/>
    <xf numFmtId="0" fontId="29" fillId="0" borderId="49" xfId="0" applyFont="1" applyBorder="1" applyAlignment="1">
      <alignment horizontal="center"/>
    </xf>
    <xf numFmtId="167" fontId="29" fillId="0" borderId="50" xfId="0" applyNumberFormat="1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7" fillId="0" borderId="66" xfId="0" applyFont="1" applyBorder="1"/>
    <xf numFmtId="0" fontId="27" fillId="0" borderId="38" xfId="0" applyFont="1" applyBorder="1"/>
    <xf numFmtId="0" fontId="27" fillId="0" borderId="67" xfId="0" applyFont="1" applyBorder="1"/>
    <xf numFmtId="0" fontId="13" fillId="0" borderId="19" xfId="0" applyFont="1" applyBorder="1"/>
    <xf numFmtId="167" fontId="13" fillId="0" borderId="19" xfId="0" applyNumberFormat="1" applyFont="1" applyBorder="1"/>
    <xf numFmtId="0" fontId="27" fillId="0" borderId="64" xfId="0" applyFont="1" applyBorder="1"/>
    <xf numFmtId="0" fontId="27" fillId="0" borderId="19" xfId="0" applyFont="1" applyBorder="1"/>
    <xf numFmtId="0" fontId="27" fillId="0" borderId="21" xfId="0" applyFont="1" applyBorder="1"/>
    <xf numFmtId="0" fontId="13" fillId="9" borderId="19" xfId="0" applyFont="1" applyFill="1" applyBorder="1"/>
    <xf numFmtId="0" fontId="27" fillId="0" borderId="34" xfId="0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19" xfId="0" applyFont="1" applyBorder="1" applyAlignment="1">
      <alignment horizontal="center" vertical="top" wrapText="1"/>
    </xf>
    <xf numFmtId="0" fontId="27" fillId="0" borderId="66" xfId="0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/>
    <xf numFmtId="0" fontId="27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5" fillId="0" borderId="64" xfId="0" applyFont="1" applyBorder="1"/>
    <xf numFmtId="0" fontId="25" fillId="0" borderId="19" xfId="0" applyFont="1" applyBorder="1"/>
    <xf numFmtId="0" fontId="25" fillId="0" borderId="21" xfId="0" applyFont="1" applyBorder="1"/>
    <xf numFmtId="0" fontId="25" fillId="9" borderId="21" xfId="0" applyFont="1" applyFill="1" applyBorder="1"/>
    <xf numFmtId="0" fontId="25" fillId="0" borderId="34" xfId="0" applyFont="1" applyBorder="1"/>
    <xf numFmtId="0" fontId="25" fillId="0" borderId="31" xfId="0" applyFont="1" applyBorder="1"/>
    <xf numFmtId="0" fontId="25" fillId="0" borderId="32" xfId="0" applyFont="1" applyBorder="1"/>
    <xf numFmtId="0" fontId="32" fillId="0" borderId="0" xfId="0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34" fillId="0" borderId="2" xfId="0" applyFont="1" applyBorder="1"/>
    <xf numFmtId="0" fontId="35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4" fillId="0" borderId="10" xfId="0" applyFont="1" applyBorder="1"/>
    <xf numFmtId="0" fontId="35" fillId="0" borderId="52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6" fillId="0" borderId="16" xfId="0" applyFont="1" applyBorder="1"/>
    <xf numFmtId="3" fontId="37" fillId="0" borderId="16" xfId="0" applyNumberFormat="1" applyFont="1" applyBorder="1"/>
    <xf numFmtId="167" fontId="32" fillId="0" borderId="8" xfId="0" applyNumberFormat="1" applyFont="1" applyBorder="1"/>
    <xf numFmtId="3" fontId="32" fillId="0" borderId="17" xfId="0" applyNumberFormat="1" applyFont="1" applyBorder="1"/>
    <xf numFmtId="167" fontId="33" fillId="0" borderId="17" xfId="0" applyNumberFormat="1" applyFont="1" applyBorder="1"/>
    <xf numFmtId="3" fontId="32" fillId="0" borderId="18" xfId="0" applyNumberFormat="1" applyFont="1" applyBorder="1"/>
    <xf numFmtId="0" fontId="32" fillId="0" borderId="8" xfId="0" applyFont="1" applyBorder="1"/>
    <xf numFmtId="0" fontId="32" fillId="0" borderId="17" xfId="0" applyFont="1" applyBorder="1"/>
    <xf numFmtId="0" fontId="36" fillId="0" borderId="22" xfId="0" applyFont="1" applyBorder="1"/>
    <xf numFmtId="3" fontId="37" fillId="0" borderId="22" xfId="0" applyNumberFormat="1" applyFont="1" applyBorder="1"/>
    <xf numFmtId="167" fontId="33" fillId="0" borderId="23" xfId="0" applyNumberFormat="1" applyFont="1" applyBorder="1"/>
    <xf numFmtId="3" fontId="32" fillId="0" borderId="19" xfId="0" applyNumberFormat="1" applyFont="1" applyBorder="1"/>
    <xf numFmtId="167" fontId="33" fillId="0" borderId="19" xfId="0" applyNumberFormat="1" applyFont="1" applyBorder="1"/>
    <xf numFmtId="3" fontId="32" fillId="0" borderId="21" xfId="0" applyNumberFormat="1" applyFont="1" applyBorder="1"/>
    <xf numFmtId="0" fontId="32" fillId="0" borderId="23" xfId="0" applyFont="1" applyBorder="1"/>
    <xf numFmtId="0" fontId="32" fillId="0" borderId="19" xfId="0" applyFont="1" applyBorder="1"/>
    <xf numFmtId="167" fontId="32" fillId="0" borderId="23" xfId="0" applyNumberFormat="1" applyFont="1" applyBorder="1"/>
    <xf numFmtId="167" fontId="33" fillId="0" borderId="38" xfId="0" applyNumberFormat="1" applyFont="1" applyBorder="1"/>
    <xf numFmtId="3" fontId="33" fillId="0" borderId="21" xfId="0" applyNumberFormat="1" applyFont="1" applyBorder="1"/>
    <xf numFmtId="167" fontId="32" fillId="0" borderId="19" xfId="0" applyNumberFormat="1" applyFont="1" applyBorder="1"/>
    <xf numFmtId="0" fontId="33" fillId="0" borderId="29" xfId="0" applyFont="1" applyBorder="1"/>
    <xf numFmtId="3" fontId="37" fillId="0" borderId="29" xfId="0" applyNumberFormat="1" applyFont="1" applyBorder="1"/>
    <xf numFmtId="167" fontId="32" fillId="0" borderId="30" xfId="0" applyNumberFormat="1" applyFont="1" applyBorder="1"/>
    <xf numFmtId="3" fontId="32" fillId="0" borderId="31" xfId="0" applyNumberFormat="1" applyFont="1" applyBorder="1"/>
    <xf numFmtId="167" fontId="32" fillId="0" borderId="31" xfId="0" applyNumberFormat="1" applyFont="1" applyBorder="1"/>
    <xf numFmtId="3" fontId="32" fillId="0" borderId="32" xfId="0" applyNumberFormat="1" applyFont="1" applyBorder="1"/>
    <xf numFmtId="0" fontId="32" fillId="0" borderId="30" xfId="0" applyFont="1" applyBorder="1"/>
    <xf numFmtId="0" fontId="32" fillId="0" borderId="31" xfId="0" applyFont="1" applyBorder="1"/>
    <xf numFmtId="0" fontId="36" fillId="9" borderId="22" xfId="0" applyFont="1" applyFill="1" applyBorder="1"/>
    <xf numFmtId="3" fontId="37" fillId="9" borderId="22" xfId="0" applyNumberFormat="1" applyFont="1" applyFill="1" applyBorder="1"/>
    <xf numFmtId="167" fontId="32" fillId="9" borderId="23" xfId="0" applyNumberFormat="1" applyFont="1" applyFill="1" applyBorder="1"/>
    <xf numFmtId="3" fontId="32" fillId="9" borderId="19" xfId="0" applyNumberFormat="1" applyFont="1" applyFill="1" applyBorder="1"/>
    <xf numFmtId="167" fontId="33" fillId="9" borderId="19" xfId="0" applyNumberFormat="1" applyFont="1" applyFill="1" applyBorder="1"/>
    <xf numFmtId="3" fontId="24" fillId="9" borderId="21" xfId="0" applyNumberFormat="1" applyFont="1" applyFill="1" applyBorder="1"/>
    <xf numFmtId="3" fontId="32" fillId="9" borderId="21" xfId="0" applyNumberFormat="1" applyFont="1" applyFill="1" applyBorder="1"/>
    <xf numFmtId="0" fontId="33" fillId="0" borderId="0" xfId="0" applyFont="1"/>
    <xf numFmtId="0" fontId="35" fillId="0" borderId="16" xfId="0" applyFont="1" applyBorder="1"/>
    <xf numFmtId="3" fontId="33" fillId="0" borderId="16" xfId="0" applyNumberFormat="1" applyFont="1" applyBorder="1"/>
    <xf numFmtId="167" fontId="32" fillId="0" borderId="17" xfId="0" applyNumberFormat="1" applyFont="1" applyBorder="1"/>
    <xf numFmtId="0" fontId="32" fillId="0" borderId="18" xfId="0" applyFont="1" applyBorder="1"/>
    <xf numFmtId="0" fontId="35" fillId="0" borderId="22" xfId="0" applyFont="1" applyBorder="1"/>
    <xf numFmtId="3" fontId="33" fillId="0" borderId="22" xfId="0" applyNumberFormat="1" applyFont="1" applyBorder="1"/>
    <xf numFmtId="0" fontId="32" fillId="0" borderId="21" xfId="0" applyFont="1" applyBorder="1"/>
    <xf numFmtId="3" fontId="33" fillId="0" borderId="29" xfId="0" applyNumberFormat="1" applyFont="1" applyBorder="1"/>
    <xf numFmtId="0" fontId="32" fillId="0" borderId="32" xfId="0" applyFont="1" applyBorder="1"/>
    <xf numFmtId="3" fontId="33" fillId="9" borderId="22" xfId="0" applyNumberFormat="1" applyFont="1" applyFill="1" applyBorder="1"/>
    <xf numFmtId="0" fontId="32" fillId="9" borderId="19" xfId="0" applyFont="1" applyFill="1" applyBorder="1"/>
    <xf numFmtId="0" fontId="33" fillId="9" borderId="21" xfId="0" applyFont="1" applyFill="1" applyBorder="1"/>
    <xf numFmtId="0" fontId="32" fillId="9" borderId="23" xfId="0" applyFont="1" applyFill="1" applyBorder="1"/>
    <xf numFmtId="0" fontId="32" fillId="9" borderId="21" xfId="0" applyFont="1" applyFill="1" applyBorder="1"/>
    <xf numFmtId="0" fontId="33" fillId="0" borderId="19" xfId="0" applyFont="1" applyBorder="1"/>
    <xf numFmtId="0" fontId="33" fillId="0" borderId="21" xfId="0" applyFont="1" applyBorder="1"/>
    <xf numFmtId="167" fontId="27" fillId="0" borderId="0" xfId="0" applyNumberFormat="1" applyFont="1"/>
    <xf numFmtId="0" fontId="35" fillId="0" borderId="2" xfId="0" applyFont="1" applyBorder="1"/>
    <xf numFmtId="0" fontId="35" fillId="0" borderId="10" xfId="0" applyFont="1" applyBorder="1"/>
    <xf numFmtId="167" fontId="25" fillId="0" borderId="8" xfId="0" applyNumberFormat="1" applyFont="1" applyBorder="1"/>
    <xf numFmtId="3" fontId="25" fillId="0" borderId="17" xfId="0" applyNumberFormat="1" applyFont="1" applyBorder="1"/>
    <xf numFmtId="167" fontId="24" fillId="0" borderId="17" xfId="0" applyNumberFormat="1" applyFont="1" applyBorder="1"/>
    <xf numFmtId="3" fontId="24" fillId="0" borderId="18" xfId="0" applyNumberFormat="1" applyFont="1" applyBorder="1"/>
    <xf numFmtId="0" fontId="25" fillId="0" borderId="17" xfId="0" applyFont="1" applyBorder="1"/>
    <xf numFmtId="167" fontId="25" fillId="0" borderId="23" xfId="0" applyNumberFormat="1" applyFont="1" applyBorder="1"/>
    <xf numFmtId="3" fontId="25" fillId="0" borderId="19" xfId="0" applyNumberFormat="1" applyFont="1" applyBorder="1"/>
    <xf numFmtId="167" fontId="24" fillId="0" borderId="19" xfId="0" applyNumberFormat="1" applyFont="1" applyBorder="1"/>
    <xf numFmtId="3" fontId="24" fillId="0" borderId="21" xfId="0" applyNumberFormat="1" applyFont="1" applyBorder="1"/>
    <xf numFmtId="167" fontId="25" fillId="0" borderId="19" xfId="0" applyNumberFormat="1" applyFont="1" applyBorder="1"/>
    <xf numFmtId="3" fontId="25" fillId="0" borderId="21" xfId="0" applyNumberFormat="1" applyFont="1" applyBorder="1"/>
    <xf numFmtId="167" fontId="25" fillId="0" borderId="30" xfId="0" applyNumberFormat="1" applyFont="1" applyBorder="1"/>
    <xf numFmtId="3" fontId="25" fillId="0" borderId="31" xfId="0" applyNumberFormat="1" applyFont="1" applyBorder="1"/>
    <xf numFmtId="167" fontId="25" fillId="0" borderId="31" xfId="0" applyNumberFormat="1" applyFont="1" applyBorder="1"/>
    <xf numFmtId="3" fontId="25" fillId="0" borderId="32" xfId="0" applyNumberFormat="1" applyFont="1" applyBorder="1"/>
    <xf numFmtId="0" fontId="38" fillId="0" borderId="23" xfId="0" applyFont="1" applyBorder="1"/>
    <xf numFmtId="167" fontId="24" fillId="0" borderId="23" xfId="0" applyNumberFormat="1" applyFont="1" applyBorder="1"/>
    <xf numFmtId="0" fontId="38" fillId="0" borderId="30" xfId="0" applyFont="1" applyBorder="1"/>
    <xf numFmtId="0" fontId="27" fillId="0" borderId="64" xfId="0" applyFont="1" applyBorder="1" applyAlignment="1">
      <alignment horizontal="center" vertical="top" wrapText="1"/>
    </xf>
    <xf numFmtId="0" fontId="27" fillId="0" borderId="69" xfId="0" applyFont="1" applyBorder="1" applyAlignment="1">
      <alignment horizontal="justify" vertical="top" wrapText="1"/>
    </xf>
    <xf numFmtId="0" fontId="27" fillId="0" borderId="70" xfId="0" applyFont="1" applyBorder="1" applyAlignment="1">
      <alignment horizontal="right" vertical="top" wrapText="1"/>
    </xf>
    <xf numFmtId="0" fontId="27" fillId="0" borderId="38" xfId="0" applyFont="1" applyBorder="1" applyAlignment="1">
      <alignment horizontal="justify" vertical="top" wrapText="1"/>
    </xf>
    <xf numFmtId="0" fontId="27" fillId="0" borderId="66" xfId="0" applyFont="1" applyBorder="1" applyAlignment="1">
      <alignment horizontal="right" vertical="top" wrapText="1"/>
    </xf>
    <xf numFmtId="0" fontId="19" fillId="0" borderId="19" xfId="0" applyFont="1" applyBorder="1" applyAlignment="1">
      <alignment vertical="top" wrapText="1"/>
    </xf>
    <xf numFmtId="0" fontId="19" fillId="0" borderId="64" xfId="0" applyFont="1" applyBorder="1" applyAlignment="1">
      <alignment horizontal="center" vertical="top" wrapText="1"/>
    </xf>
    <xf numFmtId="0" fontId="19" fillId="0" borderId="69" xfId="0" applyFont="1" applyBorder="1" applyAlignment="1">
      <alignment vertical="top" wrapText="1"/>
    </xf>
    <xf numFmtId="0" fontId="19" fillId="0" borderId="70" xfId="0" applyFont="1" applyBorder="1" applyAlignment="1">
      <alignment horizontal="center" vertical="top" wrapText="1"/>
    </xf>
    <xf numFmtId="0" fontId="19" fillId="0" borderId="38" xfId="0" applyFont="1" applyBorder="1" applyAlignment="1">
      <alignment vertical="top" wrapText="1"/>
    </xf>
    <xf numFmtId="0" fontId="19" fillId="0" borderId="66" xfId="0" applyFont="1" applyBorder="1" applyAlignment="1">
      <alignment horizontal="center" vertical="top" wrapText="1"/>
    </xf>
    <xf numFmtId="0" fontId="27" fillId="0" borderId="38" xfId="0" applyFont="1" applyBorder="1" applyAlignment="1">
      <alignment vertical="top" wrapText="1"/>
    </xf>
    <xf numFmtId="0" fontId="0" fillId="0" borderId="0" xfId="0" applyAlignment="1">
      <alignment horizontal="right"/>
    </xf>
    <xf numFmtId="4" fontId="22" fillId="13" borderId="0" xfId="0" applyNumberFormat="1" applyFont="1" applyFill="1" applyBorder="1" applyAlignment="1">
      <alignment horizontal="center"/>
    </xf>
    <xf numFmtId="0" fontId="22" fillId="16" borderId="44" xfId="0" applyFont="1" applyFill="1" applyBorder="1" applyAlignment="1">
      <alignment horizontal="right"/>
    </xf>
    <xf numFmtId="0" fontId="22" fillId="16" borderId="45" xfId="0" applyFont="1" applyFill="1" applyBorder="1" applyAlignment="1">
      <alignment horizontal="center"/>
    </xf>
    <xf numFmtId="0" fontId="22" fillId="16" borderId="46" xfId="0" applyFont="1" applyFill="1" applyBorder="1" applyAlignment="1">
      <alignment vertical="top"/>
    </xf>
    <xf numFmtId="0" fontId="22" fillId="16" borderId="47" xfId="0" applyFont="1" applyFill="1" applyBorder="1"/>
    <xf numFmtId="0" fontId="22" fillId="16" borderId="0" xfId="0" applyFont="1" applyFill="1" applyBorder="1" applyAlignment="1">
      <alignment horizontal="center" vertical="top"/>
    </xf>
    <xf numFmtId="0" fontId="22" fillId="16" borderId="0" xfId="0" applyFont="1" applyFill="1" applyBorder="1" applyAlignment="1">
      <alignment vertical="top"/>
    </xf>
    <xf numFmtId="0" fontId="22" fillId="16" borderId="48" xfId="0" applyFont="1" applyFill="1" applyBorder="1" applyAlignment="1">
      <alignment vertical="top"/>
    </xf>
    <xf numFmtId="3" fontId="22" fillId="16" borderId="0" xfId="0" applyNumberFormat="1" applyFont="1" applyFill="1" applyBorder="1" applyAlignment="1">
      <alignment horizontal="center"/>
    </xf>
    <xf numFmtId="3" fontId="22" fillId="16" borderId="48" xfId="0" applyNumberFormat="1" applyFont="1" applyFill="1" applyBorder="1" applyAlignment="1">
      <alignment horizontal="center"/>
    </xf>
    <xf numFmtId="0" fontId="22" fillId="16" borderId="49" xfId="0" applyFont="1" applyFill="1" applyBorder="1"/>
    <xf numFmtId="3" fontId="22" fillId="16" borderId="50" xfId="0" applyNumberFormat="1" applyFont="1" applyFill="1" applyBorder="1" applyAlignment="1">
      <alignment horizontal="center"/>
    </xf>
    <xf numFmtId="0" fontId="22" fillId="16" borderId="50" xfId="0" applyFont="1" applyFill="1" applyBorder="1" applyAlignment="1">
      <alignment horizontal="center"/>
    </xf>
    <xf numFmtId="4" fontId="22" fillId="0" borderId="51" xfId="0" applyNumberFormat="1" applyFont="1" applyFill="1" applyBorder="1" applyAlignment="1">
      <alignment horizontal="center"/>
    </xf>
    <xf numFmtId="3" fontId="22" fillId="16" borderId="51" xfId="0" applyNumberFormat="1" applyFont="1" applyFill="1" applyBorder="1" applyAlignment="1">
      <alignment horizontal="center"/>
    </xf>
    <xf numFmtId="1" fontId="22" fillId="17" borderId="46" xfId="0" applyNumberFormat="1" applyFont="1" applyFill="1" applyBorder="1" applyAlignment="1">
      <alignment horizontal="center"/>
    </xf>
    <xf numFmtId="0" fontId="14" fillId="0" borderId="0" xfId="0" quotePrefix="1" applyFont="1" applyFill="1" applyAlignment="1">
      <alignment horizontal="center"/>
    </xf>
    <xf numFmtId="3" fontId="22" fillId="18" borderId="0" xfId="0" applyNumberFormat="1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 vertical="top"/>
    </xf>
    <xf numFmtId="0" fontId="22" fillId="0" borderId="45" xfId="0" applyFont="1" applyFill="1" applyBorder="1" applyAlignment="1">
      <alignment horizontal="center" vertical="top"/>
    </xf>
    <xf numFmtId="0" fontId="22" fillId="0" borderId="45" xfId="0" applyFont="1" applyFill="1" applyBorder="1" applyAlignment="1">
      <alignment vertical="top"/>
    </xf>
    <xf numFmtId="0" fontId="22" fillId="0" borderId="46" xfId="0" applyFont="1" applyFill="1" applyBorder="1" applyAlignment="1">
      <alignment horizontal="center" vertical="top"/>
    </xf>
    <xf numFmtId="4" fontId="22" fillId="13" borderId="47" xfId="0" applyNumberFormat="1" applyFont="1" applyFill="1" applyBorder="1" applyAlignment="1">
      <alignment horizontal="center"/>
    </xf>
    <xf numFmtId="4" fontId="22" fillId="13" borderId="48" xfId="0" applyNumberFormat="1" applyFont="1" applyFill="1" applyBorder="1" applyAlignment="1">
      <alignment horizontal="center"/>
    </xf>
    <xf numFmtId="4" fontId="22" fillId="0" borderId="47" xfId="0" applyNumberFormat="1" applyFont="1" applyFill="1" applyBorder="1" applyAlignment="1">
      <alignment horizontal="center"/>
    </xf>
    <xf numFmtId="4" fontId="22" fillId="0" borderId="48" xfId="0" applyNumberFormat="1" applyFont="1" applyFill="1" applyBorder="1" applyAlignment="1">
      <alignment horizontal="center"/>
    </xf>
    <xf numFmtId="4" fontId="22" fillId="0" borderId="49" xfId="0" applyNumberFormat="1" applyFont="1" applyFill="1" applyBorder="1" applyAlignment="1">
      <alignment horizontal="center"/>
    </xf>
    <xf numFmtId="0" fontId="23" fillId="0" borderId="42" xfId="0" applyFont="1" applyBorder="1" applyAlignment="1">
      <alignment horizontal="center"/>
    </xf>
    <xf numFmtId="1" fontId="22" fillId="17" borderId="45" xfId="0" applyNumberFormat="1" applyFont="1" applyFill="1" applyBorder="1" applyAlignment="1">
      <alignment horizontal="center"/>
    </xf>
    <xf numFmtId="3" fontId="14" fillId="19" borderId="19" xfId="0" applyNumberFormat="1" applyFont="1" applyFill="1" applyBorder="1" applyAlignment="1">
      <alignment horizontal="center"/>
    </xf>
    <xf numFmtId="3" fontId="14" fillId="19" borderId="21" xfId="0" applyNumberFormat="1" applyFont="1" applyFill="1" applyBorder="1" applyAlignment="1">
      <alignment horizontal="center"/>
    </xf>
    <xf numFmtId="3" fontId="14" fillId="16" borderId="19" xfId="0" applyNumberFormat="1" applyFont="1" applyFill="1" applyBorder="1" applyAlignment="1">
      <alignment horizontal="center"/>
    </xf>
    <xf numFmtId="3" fontId="14" fillId="19" borderId="27" xfId="0" applyNumberFormat="1" applyFont="1" applyFill="1" applyBorder="1" applyAlignment="1">
      <alignment horizontal="center"/>
    </xf>
    <xf numFmtId="3" fontId="14" fillId="2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9" fillId="0" borderId="0" xfId="0" applyNumberFormat="1" applyFont="1" applyFill="1" applyBorder="1"/>
    <xf numFmtId="3" fontId="14" fillId="20" borderId="22" xfId="0" applyNumberFormat="1" applyFont="1" applyFill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4" fillId="11" borderId="2" xfId="0" applyNumberFormat="1" applyFont="1" applyFill="1" applyBorder="1" applyAlignment="1">
      <alignment horizontal="center"/>
    </xf>
    <xf numFmtId="3" fontId="14" fillId="20" borderId="19" xfId="0" applyNumberFormat="1" applyFont="1" applyFill="1" applyBorder="1" applyAlignment="1">
      <alignment horizontal="center"/>
    </xf>
    <xf numFmtId="0" fontId="14" fillId="21" borderId="0" xfId="0" applyFont="1" applyFill="1" applyBorder="1" applyAlignment="1">
      <alignment horizontal="center"/>
    </xf>
    <xf numFmtId="0" fontId="22" fillId="22" borderId="0" xfId="0" applyFont="1" applyFill="1" applyBorder="1" applyAlignment="1"/>
    <xf numFmtId="0" fontId="22" fillId="22" borderId="0" xfId="0" applyFont="1" applyFill="1" applyBorder="1" applyAlignment="1">
      <alignment horizontal="center"/>
    </xf>
    <xf numFmtId="0" fontId="0" fillId="21" borderId="0" xfId="0" applyFill="1" applyBorder="1"/>
    <xf numFmtId="3" fontId="22" fillId="22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23" borderId="72" xfId="0" applyFont="1" applyFill="1" applyBorder="1" applyAlignment="1">
      <alignment horizontal="center"/>
    </xf>
    <xf numFmtId="0" fontId="14" fillId="23" borderId="73" xfId="0" applyFont="1" applyFill="1" applyBorder="1" applyAlignment="1">
      <alignment horizontal="center"/>
    </xf>
    <xf numFmtId="0" fontId="14" fillId="23" borderId="74" xfId="0" applyFont="1" applyFill="1" applyBorder="1" applyAlignment="1">
      <alignment horizontal="center"/>
    </xf>
    <xf numFmtId="0" fontId="39" fillId="23" borderId="75" xfId="0" applyFont="1" applyFill="1" applyBorder="1"/>
    <xf numFmtId="0" fontId="22" fillId="24" borderId="76" xfId="0" applyFont="1" applyFill="1" applyBorder="1" applyAlignment="1"/>
    <xf numFmtId="0" fontId="22" fillId="24" borderId="77" xfId="0" applyFont="1" applyFill="1" applyBorder="1" applyAlignment="1"/>
    <xf numFmtId="0" fontId="22" fillId="25" borderId="75" xfId="0" applyFont="1" applyFill="1" applyBorder="1" applyAlignment="1">
      <alignment horizontal="center"/>
    </xf>
    <xf numFmtId="3" fontId="22" fillId="25" borderId="76" xfId="0" applyNumberFormat="1" applyFont="1" applyFill="1" applyBorder="1" applyAlignment="1">
      <alignment horizontal="center"/>
    </xf>
    <xf numFmtId="3" fontId="22" fillId="25" borderId="77" xfId="0" applyNumberFormat="1" applyFont="1" applyFill="1" applyBorder="1" applyAlignment="1">
      <alignment horizontal="center"/>
    </xf>
    <xf numFmtId="3" fontId="14" fillId="26" borderId="0" xfId="0" applyNumberFormat="1" applyFont="1" applyFill="1" applyBorder="1" applyAlignment="1">
      <alignment horizontal="center"/>
    </xf>
    <xf numFmtId="0" fontId="24" fillId="0" borderId="0" xfId="0" applyFont="1" applyAlignment="1"/>
    <xf numFmtId="0" fontId="40" fillId="0" borderId="28" xfId="0" applyFont="1" applyBorder="1" applyAlignment="1">
      <alignment horizontal="center" vertical="top" wrapText="1"/>
    </xf>
    <xf numFmtId="0" fontId="40" fillId="0" borderId="78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70" xfId="0" applyFont="1" applyBorder="1" applyAlignment="1">
      <alignment horizontal="center" vertical="top" wrapText="1"/>
    </xf>
    <xf numFmtId="0" fontId="11" fillId="0" borderId="78" xfId="0" applyFont="1" applyBorder="1" applyAlignment="1">
      <alignment vertical="top" wrapText="1"/>
    </xf>
    <xf numFmtId="3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70" xfId="0" applyFont="1" applyBorder="1" applyAlignment="1">
      <alignment horizontal="right" vertical="top" wrapText="1"/>
    </xf>
    <xf numFmtId="0" fontId="11" fillId="0" borderId="79" xfId="0" applyFont="1" applyBorder="1" applyAlignment="1">
      <alignment vertical="top" wrapText="1"/>
    </xf>
    <xf numFmtId="3" fontId="11" fillId="0" borderId="80" xfId="0" applyNumberFormat="1" applyFont="1" applyBorder="1" applyAlignment="1">
      <alignment horizontal="right" vertical="top" wrapText="1"/>
    </xf>
    <xf numFmtId="0" fontId="11" fillId="0" borderId="80" xfId="0" applyFont="1" applyBorder="1" applyAlignment="1">
      <alignment horizontal="right" vertical="top" wrapText="1"/>
    </xf>
    <xf numFmtId="3" fontId="11" fillId="0" borderId="66" xfId="0" applyNumberFormat="1" applyFont="1" applyBorder="1" applyAlignment="1">
      <alignment horizontal="right" vertical="top" wrapText="1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1" fillId="0" borderId="81" xfId="0" applyFont="1" applyBorder="1" applyAlignment="1">
      <alignment horizontal="center" vertical="top" wrapText="1"/>
    </xf>
    <xf numFmtId="0" fontId="11" fillId="0" borderId="82" xfId="0" applyFont="1" applyBorder="1" applyAlignment="1">
      <alignment horizontal="center" vertical="top" wrapText="1"/>
    </xf>
  </cellXfs>
  <cellStyles count="16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Status" xfId="13"/>
    <cellStyle name="Text" xfId="14"/>
    <cellStyle name="Warning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685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2E0AE"/>
      <rgbColor rgb="00808080"/>
      <rgbColor rgb="00E3E3E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BCE4E5"/>
      <rgbColor rgb="00DDDDDD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7</xdr:row>
      <xdr:rowOff>22860</xdr:rowOff>
    </xdr:from>
    <xdr:to>
      <xdr:col>11</xdr:col>
      <xdr:colOff>76200</xdr:colOff>
      <xdr:row>14</xdr:row>
      <xdr:rowOff>22860</xdr:rowOff>
    </xdr:to>
    <xdr:sp macro="" textlink="">
      <xdr:nvSpPr>
        <xdr:cNvPr id="5123" name="Ligne 5">
          <a:extLst>
            <a:ext uri="{FF2B5EF4-FFF2-40B4-BE49-F238E27FC236}">
              <a16:creationId xmlns:a16="http://schemas.microsoft.com/office/drawing/2014/main" id="{9290026C-12FE-4C65-A499-988495151C05}"/>
            </a:ext>
          </a:extLst>
        </xdr:cNvPr>
        <xdr:cNvSpPr>
          <a:spLocks noChangeShapeType="1"/>
        </xdr:cNvSpPr>
      </xdr:nvSpPr>
      <xdr:spPr bwMode="auto">
        <a:xfrm flipH="1" flipV="1">
          <a:off x="5814060" y="5036820"/>
          <a:ext cx="7147560" cy="501396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9</xdr:row>
      <xdr:rowOff>0</xdr:rowOff>
    </xdr:from>
    <xdr:to>
      <xdr:col>12</xdr:col>
      <xdr:colOff>487680</xdr:colOff>
      <xdr:row>14</xdr:row>
      <xdr:rowOff>38100</xdr:rowOff>
    </xdr:to>
    <xdr:sp macro="" textlink="">
      <xdr:nvSpPr>
        <xdr:cNvPr id="7174" name="Ligne 5">
          <a:extLst>
            <a:ext uri="{FF2B5EF4-FFF2-40B4-BE49-F238E27FC236}">
              <a16:creationId xmlns:a16="http://schemas.microsoft.com/office/drawing/2014/main" id="{89335B2D-877E-4126-8F4B-47B4A4CF2170}"/>
            </a:ext>
          </a:extLst>
        </xdr:cNvPr>
        <xdr:cNvSpPr>
          <a:spLocks noChangeShapeType="1"/>
        </xdr:cNvSpPr>
      </xdr:nvSpPr>
      <xdr:spPr bwMode="auto">
        <a:xfrm flipH="1" flipV="1">
          <a:off x="11567160" y="7406640"/>
          <a:ext cx="3284220" cy="41529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396240</xdr:colOff>
      <xdr:row>6</xdr:row>
      <xdr:rowOff>762000</xdr:rowOff>
    </xdr:from>
    <xdr:to>
      <xdr:col>11</xdr:col>
      <xdr:colOff>487680</xdr:colOff>
      <xdr:row>15</xdr:row>
      <xdr:rowOff>746760</xdr:rowOff>
    </xdr:to>
    <xdr:sp macro="" textlink="">
      <xdr:nvSpPr>
        <xdr:cNvPr id="7175" name="Line 3">
          <a:extLst>
            <a:ext uri="{FF2B5EF4-FFF2-40B4-BE49-F238E27FC236}">
              <a16:creationId xmlns:a16="http://schemas.microsoft.com/office/drawing/2014/main" id="{15A07A57-3635-4A9D-B7A2-6E011B8F50DC}"/>
            </a:ext>
          </a:extLst>
        </xdr:cNvPr>
        <xdr:cNvSpPr>
          <a:spLocks noChangeShapeType="1"/>
        </xdr:cNvSpPr>
      </xdr:nvSpPr>
      <xdr:spPr bwMode="auto">
        <a:xfrm flipH="1" flipV="1">
          <a:off x="5234940" y="5699760"/>
          <a:ext cx="8663940" cy="739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12</xdr:row>
      <xdr:rowOff>0</xdr:rowOff>
    </xdr:from>
    <xdr:to>
      <xdr:col>9</xdr:col>
      <xdr:colOff>114300</xdr:colOff>
      <xdr:row>13</xdr:row>
      <xdr:rowOff>38100</xdr:rowOff>
    </xdr:to>
    <xdr:sp macro="" textlink="">
      <xdr:nvSpPr>
        <xdr:cNvPr id="10273" name="Ligne 2">
          <a:extLst>
            <a:ext uri="{FF2B5EF4-FFF2-40B4-BE49-F238E27FC236}">
              <a16:creationId xmlns:a16="http://schemas.microsoft.com/office/drawing/2014/main" id="{CA007519-109E-4A61-BE45-85435F867062}"/>
            </a:ext>
          </a:extLst>
        </xdr:cNvPr>
        <xdr:cNvSpPr>
          <a:spLocks noChangeShapeType="1"/>
        </xdr:cNvSpPr>
      </xdr:nvSpPr>
      <xdr:spPr bwMode="auto">
        <a:xfrm flipH="1">
          <a:off x="7368540" y="9265920"/>
          <a:ext cx="2781300" cy="792480"/>
        </a:xfrm>
        <a:prstGeom prst="line">
          <a:avLst/>
        </a:prstGeom>
        <a:noFill/>
        <a:ln w="72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38100</xdr:rowOff>
    </xdr:to>
    <xdr:sp macro="" textlink="">
      <xdr:nvSpPr>
        <xdr:cNvPr id="10274" name="Ligne 3">
          <a:extLst>
            <a:ext uri="{FF2B5EF4-FFF2-40B4-BE49-F238E27FC236}">
              <a16:creationId xmlns:a16="http://schemas.microsoft.com/office/drawing/2014/main" id="{5C5F80C8-655C-4D93-8139-C03641C6F231}"/>
            </a:ext>
          </a:extLst>
        </xdr:cNvPr>
        <xdr:cNvSpPr>
          <a:spLocks noChangeShapeType="1"/>
        </xdr:cNvSpPr>
      </xdr:nvSpPr>
      <xdr:spPr bwMode="auto">
        <a:xfrm>
          <a:off x="7018020" y="9265920"/>
          <a:ext cx="0" cy="792480"/>
        </a:xfrm>
        <a:prstGeom prst="line">
          <a:avLst/>
        </a:prstGeom>
        <a:noFill/>
        <a:ln w="36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</xdr:colOff>
      <xdr:row>35</xdr:row>
      <xdr:rowOff>0</xdr:rowOff>
    </xdr:from>
    <xdr:to>
      <xdr:col>7</xdr:col>
      <xdr:colOff>198120</xdr:colOff>
      <xdr:row>35</xdr:row>
      <xdr:rowOff>0</xdr:rowOff>
    </xdr:to>
    <xdr:sp macro="" textlink="">
      <xdr:nvSpPr>
        <xdr:cNvPr id="10275" name="Ligne 7">
          <a:extLst>
            <a:ext uri="{FF2B5EF4-FFF2-40B4-BE49-F238E27FC236}">
              <a16:creationId xmlns:a16="http://schemas.microsoft.com/office/drawing/2014/main" id="{CD03576B-92D5-4E98-B3BB-2BC8AFECF35F}"/>
            </a:ext>
          </a:extLst>
        </xdr:cNvPr>
        <xdr:cNvSpPr>
          <a:spLocks noChangeShapeType="1"/>
        </xdr:cNvSpPr>
      </xdr:nvSpPr>
      <xdr:spPr bwMode="auto">
        <a:xfrm flipH="1">
          <a:off x="8046720" y="26616660"/>
          <a:ext cx="17526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12</xdr:row>
      <xdr:rowOff>91440</xdr:rowOff>
    </xdr:from>
    <xdr:to>
      <xdr:col>19</xdr:col>
      <xdr:colOff>38100</xdr:colOff>
      <xdr:row>14</xdr:row>
      <xdr:rowOff>213360</xdr:rowOff>
    </xdr:to>
    <xdr:sp macro="" textlink="">
      <xdr:nvSpPr>
        <xdr:cNvPr id="10276" name="Ligne 10">
          <a:extLst>
            <a:ext uri="{FF2B5EF4-FFF2-40B4-BE49-F238E27FC236}">
              <a16:creationId xmlns:a16="http://schemas.microsoft.com/office/drawing/2014/main" id="{7AD49571-FBC3-4A5A-9AF4-1B6A424076D2}"/>
            </a:ext>
          </a:extLst>
        </xdr:cNvPr>
        <xdr:cNvSpPr>
          <a:spLocks noChangeShapeType="1"/>
        </xdr:cNvSpPr>
      </xdr:nvSpPr>
      <xdr:spPr bwMode="auto">
        <a:xfrm>
          <a:off x="20132040" y="9357360"/>
          <a:ext cx="0" cy="1630680"/>
        </a:xfrm>
        <a:prstGeom prst="line">
          <a:avLst/>
        </a:prstGeom>
        <a:noFill/>
        <a:ln w="108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17</xdr:row>
      <xdr:rowOff>129540</xdr:rowOff>
    </xdr:from>
    <xdr:to>
      <xdr:col>17</xdr:col>
      <xdr:colOff>152400</xdr:colOff>
      <xdr:row>28</xdr:row>
      <xdr:rowOff>228600</xdr:rowOff>
    </xdr:to>
    <xdr:sp macro="" textlink="">
      <xdr:nvSpPr>
        <xdr:cNvPr id="10277" name="Ligne 12">
          <a:extLst>
            <a:ext uri="{FF2B5EF4-FFF2-40B4-BE49-F238E27FC236}">
              <a16:creationId xmlns:a16="http://schemas.microsoft.com/office/drawing/2014/main" id="{D002D607-FB13-4E13-A2EA-307F1C009B9A}"/>
            </a:ext>
          </a:extLst>
        </xdr:cNvPr>
        <xdr:cNvSpPr>
          <a:spLocks noChangeShapeType="1"/>
        </xdr:cNvSpPr>
      </xdr:nvSpPr>
      <xdr:spPr bwMode="auto">
        <a:xfrm>
          <a:off x="18234660" y="13167360"/>
          <a:ext cx="0" cy="8397240"/>
        </a:xfrm>
        <a:prstGeom prst="line">
          <a:avLst/>
        </a:prstGeom>
        <a:noFill/>
        <a:ln w="36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487680</xdr:colOff>
      <xdr:row>29</xdr:row>
      <xdr:rowOff>106680</xdr:rowOff>
    </xdr:from>
    <xdr:to>
      <xdr:col>17</xdr:col>
      <xdr:colOff>38100</xdr:colOff>
      <xdr:row>37</xdr:row>
      <xdr:rowOff>213360</xdr:rowOff>
    </xdr:to>
    <xdr:sp macro="" textlink="">
      <xdr:nvSpPr>
        <xdr:cNvPr id="10278" name="Ligne 14">
          <a:extLst>
            <a:ext uri="{FF2B5EF4-FFF2-40B4-BE49-F238E27FC236}">
              <a16:creationId xmlns:a16="http://schemas.microsoft.com/office/drawing/2014/main" id="{117189BB-CCD2-4554-9090-2401C3AB0412}"/>
            </a:ext>
          </a:extLst>
        </xdr:cNvPr>
        <xdr:cNvSpPr>
          <a:spLocks noChangeShapeType="1"/>
        </xdr:cNvSpPr>
      </xdr:nvSpPr>
      <xdr:spPr bwMode="auto">
        <a:xfrm flipH="1">
          <a:off x="10523220" y="22197060"/>
          <a:ext cx="7597140" cy="6141720"/>
        </a:xfrm>
        <a:prstGeom prst="line">
          <a:avLst/>
        </a:prstGeom>
        <a:noFill/>
        <a:ln w="36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</xdr:colOff>
      <xdr:row>21</xdr:row>
      <xdr:rowOff>190500</xdr:rowOff>
    </xdr:from>
    <xdr:to>
      <xdr:col>9</xdr:col>
      <xdr:colOff>60960</xdr:colOff>
      <xdr:row>37</xdr:row>
      <xdr:rowOff>76200</xdr:rowOff>
    </xdr:to>
    <xdr:sp macro="" textlink="">
      <xdr:nvSpPr>
        <xdr:cNvPr id="10279" name="Ligne 16">
          <a:extLst>
            <a:ext uri="{FF2B5EF4-FFF2-40B4-BE49-F238E27FC236}">
              <a16:creationId xmlns:a16="http://schemas.microsoft.com/office/drawing/2014/main" id="{F8C26800-10F6-48D2-A4FF-B67C3070E8BC}"/>
            </a:ext>
          </a:extLst>
        </xdr:cNvPr>
        <xdr:cNvSpPr>
          <a:spLocks noChangeShapeType="1"/>
        </xdr:cNvSpPr>
      </xdr:nvSpPr>
      <xdr:spPr bwMode="auto">
        <a:xfrm flipV="1">
          <a:off x="10096500" y="16245840"/>
          <a:ext cx="0" cy="11955780"/>
        </a:xfrm>
        <a:prstGeom prst="line">
          <a:avLst/>
        </a:prstGeom>
        <a:noFill/>
        <a:ln w="36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23</xdr:row>
      <xdr:rowOff>228600</xdr:rowOff>
    </xdr:from>
    <xdr:to>
      <xdr:col>8</xdr:col>
      <xdr:colOff>464820</xdr:colOff>
      <xdr:row>32</xdr:row>
      <xdr:rowOff>228600</xdr:rowOff>
    </xdr:to>
    <xdr:sp macro="" textlink="">
      <xdr:nvSpPr>
        <xdr:cNvPr id="10280" name="Ligne 17">
          <a:extLst>
            <a:ext uri="{FF2B5EF4-FFF2-40B4-BE49-F238E27FC236}">
              <a16:creationId xmlns:a16="http://schemas.microsoft.com/office/drawing/2014/main" id="{F7C22292-5F81-4146-9BC0-7B2719C38527}"/>
            </a:ext>
          </a:extLst>
        </xdr:cNvPr>
        <xdr:cNvSpPr>
          <a:spLocks noChangeShapeType="1"/>
        </xdr:cNvSpPr>
      </xdr:nvSpPr>
      <xdr:spPr bwMode="auto">
        <a:xfrm flipH="1">
          <a:off x="3108960" y="17792700"/>
          <a:ext cx="6385560" cy="6789420"/>
        </a:xfrm>
        <a:prstGeom prst="line">
          <a:avLst/>
        </a:prstGeom>
        <a:noFill/>
        <a:ln w="360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601980</xdr:colOff>
      <xdr:row>36</xdr:row>
      <xdr:rowOff>38100</xdr:rowOff>
    </xdr:from>
    <xdr:to>
      <xdr:col>19</xdr:col>
      <xdr:colOff>624840</xdr:colOff>
      <xdr:row>36</xdr:row>
      <xdr:rowOff>53340</xdr:rowOff>
    </xdr:to>
    <xdr:sp macro="" textlink="">
      <xdr:nvSpPr>
        <xdr:cNvPr id="10281" name="Ligne 18">
          <a:extLst>
            <a:ext uri="{FF2B5EF4-FFF2-40B4-BE49-F238E27FC236}">
              <a16:creationId xmlns:a16="http://schemas.microsoft.com/office/drawing/2014/main" id="{4AAEF108-17BD-415E-843D-0E752A01BAB8}"/>
            </a:ext>
          </a:extLst>
        </xdr:cNvPr>
        <xdr:cNvSpPr>
          <a:spLocks noChangeShapeType="1"/>
        </xdr:cNvSpPr>
      </xdr:nvSpPr>
      <xdr:spPr bwMode="auto">
        <a:xfrm flipH="1" flipV="1">
          <a:off x="4602480" y="27409140"/>
          <a:ext cx="16116300" cy="152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369570</xdr:colOff>
      <xdr:row>12</xdr:row>
      <xdr:rowOff>87630</xdr:rowOff>
    </xdr:from>
    <xdr:to>
      <xdr:col>5</xdr:col>
      <xdr:colOff>350520</xdr:colOff>
      <xdr:row>13</xdr:row>
      <xdr:rowOff>171450</xdr:rowOff>
    </xdr:to>
    <xdr:sp macro="" textlink="" fLocksText="0">
      <xdr:nvSpPr>
        <xdr:cNvPr id="10250" name="Rectangle 19">
          <a:extLst>
            <a:ext uri="{FF2B5EF4-FFF2-40B4-BE49-F238E27FC236}">
              <a16:creationId xmlns:a16="http://schemas.microsoft.com/office/drawing/2014/main" id="{1A9DBC0E-5600-410A-8065-A506EC017937}"/>
            </a:ext>
          </a:extLst>
        </xdr:cNvPr>
        <xdr:cNvSpPr>
          <a:spLocks noChangeArrowheads="1"/>
        </xdr:cNvSpPr>
      </xdr:nvSpPr>
      <xdr:spPr bwMode="auto">
        <a:xfrm>
          <a:off x="3276600" y="9344025"/>
          <a:ext cx="2924175" cy="82867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22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16</xdr:col>
      <xdr:colOff>19050</xdr:colOff>
      <xdr:row>12</xdr:row>
      <xdr:rowOff>76200</xdr:rowOff>
    </xdr:from>
    <xdr:to>
      <xdr:col>18</xdr:col>
      <xdr:colOff>360064</xdr:colOff>
      <xdr:row>13</xdr:row>
      <xdr:rowOff>114300</xdr:rowOff>
    </xdr:to>
    <xdr:sp macro="" textlink="" fLocksText="0">
      <xdr:nvSpPr>
        <xdr:cNvPr id="10251" name="Rectangle 20">
          <a:extLst>
            <a:ext uri="{FF2B5EF4-FFF2-40B4-BE49-F238E27FC236}">
              <a16:creationId xmlns:a16="http://schemas.microsoft.com/office/drawing/2014/main" id="{98081953-C81A-437F-B9F6-965BEB14B724}"/>
            </a:ext>
          </a:extLst>
        </xdr:cNvPr>
        <xdr:cNvSpPr>
          <a:spLocks noChangeArrowheads="1"/>
        </xdr:cNvSpPr>
      </xdr:nvSpPr>
      <xdr:spPr bwMode="auto">
        <a:xfrm>
          <a:off x="16668750" y="9324975"/>
          <a:ext cx="2295525" cy="79057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      PHASE 2</a:t>
          </a:r>
        </a:p>
      </xdr:txBody>
    </xdr:sp>
    <xdr:clientData/>
  </xdr:twoCellAnchor>
  <xdr:twoCellAnchor>
    <xdr:from>
      <xdr:col>15</xdr:col>
      <xdr:colOff>0</xdr:colOff>
      <xdr:row>25</xdr:row>
      <xdr:rowOff>11430</xdr:rowOff>
    </xdr:from>
    <xdr:to>
      <xdr:col>18</xdr:col>
      <xdr:colOff>169550</xdr:colOff>
      <xdr:row>26</xdr:row>
      <xdr:rowOff>38137</xdr:rowOff>
    </xdr:to>
    <xdr:sp macro="" textlink="" fLocksText="0">
      <xdr:nvSpPr>
        <xdr:cNvPr id="10252" name="Rectangle 21">
          <a:extLst>
            <a:ext uri="{FF2B5EF4-FFF2-40B4-BE49-F238E27FC236}">
              <a16:creationId xmlns:a16="http://schemas.microsoft.com/office/drawing/2014/main" id="{B7FC2C64-028D-4B98-A667-71BCBC7A9E00}"/>
            </a:ext>
          </a:extLst>
        </xdr:cNvPr>
        <xdr:cNvSpPr>
          <a:spLocks noChangeArrowheads="1"/>
        </xdr:cNvSpPr>
      </xdr:nvSpPr>
      <xdr:spPr bwMode="auto">
        <a:xfrm>
          <a:off x="15668625" y="19050000"/>
          <a:ext cx="3105150" cy="77152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22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 PHASE 3</a:t>
          </a:r>
        </a:p>
      </xdr:txBody>
    </xdr:sp>
    <xdr:clientData/>
  </xdr:twoCellAnchor>
  <xdr:twoCellAnchor>
    <xdr:from>
      <xdr:col>13</xdr:col>
      <xdr:colOff>247650</xdr:colOff>
      <xdr:row>30</xdr:row>
      <xdr:rowOff>0</xdr:rowOff>
    </xdr:from>
    <xdr:to>
      <xdr:col>16</xdr:col>
      <xdr:colOff>586757</xdr:colOff>
      <xdr:row>31</xdr:row>
      <xdr:rowOff>11467</xdr:rowOff>
    </xdr:to>
    <xdr:sp macro="" textlink="" fLocksText="0">
      <xdr:nvSpPr>
        <xdr:cNvPr id="10253" name="Rectangle 22">
          <a:extLst>
            <a:ext uri="{FF2B5EF4-FFF2-40B4-BE49-F238E27FC236}">
              <a16:creationId xmlns:a16="http://schemas.microsoft.com/office/drawing/2014/main" id="{87E0AD44-476C-4D00-8F79-4939BABA60BE}"/>
            </a:ext>
          </a:extLst>
        </xdr:cNvPr>
        <xdr:cNvSpPr>
          <a:spLocks noChangeArrowheads="1"/>
        </xdr:cNvSpPr>
      </xdr:nvSpPr>
      <xdr:spPr bwMode="auto">
        <a:xfrm>
          <a:off x="13954125" y="22793325"/>
          <a:ext cx="3267075" cy="77152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22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 PHASE 4</a:t>
          </a:r>
        </a:p>
      </xdr:txBody>
    </xdr:sp>
    <xdr:clientData/>
  </xdr:twoCellAnchor>
  <xdr:twoCellAnchor>
    <xdr:from>
      <xdr:col>9</xdr:col>
      <xdr:colOff>209550</xdr:colOff>
      <xdr:row>25</xdr:row>
      <xdr:rowOff>11430</xdr:rowOff>
    </xdr:from>
    <xdr:to>
      <xdr:col>12</xdr:col>
      <xdr:colOff>198130</xdr:colOff>
      <xdr:row>26</xdr:row>
      <xdr:rowOff>38137</xdr:rowOff>
    </xdr:to>
    <xdr:sp macro="" textlink="" fLocksText="0">
      <xdr:nvSpPr>
        <xdr:cNvPr id="10254" name="Rectangle 24">
          <a:extLst>
            <a:ext uri="{FF2B5EF4-FFF2-40B4-BE49-F238E27FC236}">
              <a16:creationId xmlns:a16="http://schemas.microsoft.com/office/drawing/2014/main" id="{3133B3E6-3ACB-484B-92C2-D3270AC66238}"/>
            </a:ext>
          </a:extLst>
        </xdr:cNvPr>
        <xdr:cNvSpPr>
          <a:spLocks noChangeArrowheads="1"/>
        </xdr:cNvSpPr>
      </xdr:nvSpPr>
      <xdr:spPr bwMode="auto">
        <a:xfrm>
          <a:off x="9991725" y="19050000"/>
          <a:ext cx="2924175" cy="77152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22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4</xdr:col>
      <xdr:colOff>285750</xdr:colOff>
      <xdr:row>26</xdr:row>
      <xdr:rowOff>171450</xdr:rowOff>
    </xdr:from>
    <xdr:to>
      <xdr:col>8</xdr:col>
      <xdr:colOff>76200</xdr:colOff>
      <xdr:row>27</xdr:row>
      <xdr:rowOff>190500</xdr:rowOff>
    </xdr:to>
    <xdr:sp macro="" textlink="" fLocksText="0">
      <xdr:nvSpPr>
        <xdr:cNvPr id="10255" name="Rectangle 25">
          <a:extLst>
            <a:ext uri="{FF2B5EF4-FFF2-40B4-BE49-F238E27FC236}">
              <a16:creationId xmlns:a16="http://schemas.microsoft.com/office/drawing/2014/main" id="{C016182A-94AD-4FF7-9D9F-F8AABEBD8C8C}"/>
            </a:ext>
          </a:extLst>
        </xdr:cNvPr>
        <xdr:cNvSpPr>
          <a:spLocks noChangeArrowheads="1"/>
        </xdr:cNvSpPr>
      </xdr:nvSpPr>
      <xdr:spPr bwMode="auto">
        <a:xfrm>
          <a:off x="5162550" y="19954875"/>
          <a:ext cx="3714750" cy="771525"/>
        </a:xfrm>
        <a:prstGeom prst="rect">
          <a:avLst/>
        </a:prstGeom>
        <a:solidFill>
          <a:srgbClr val="EEEEEE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4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2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fr-FR" sz="2200" b="1" i="0" strike="noStrike">
              <a:solidFill>
                <a:srgbClr val="000000"/>
              </a:solidFill>
              <a:latin typeface="Arial"/>
              <a:cs typeface="Arial"/>
            </a:rPr>
            <a:t>PHASE 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50" zoomScaleNormal="50" workbookViewId="0">
      <selection activeCell="O15" sqref="O15"/>
    </sheetView>
  </sheetViews>
  <sheetFormatPr baseColWidth="10" defaultColWidth="12.5546875" defaultRowHeight="17.399999999999999" x14ac:dyDescent="0.3"/>
  <cols>
    <col min="1" max="1" width="46.44140625" style="2" customWidth="1"/>
    <col min="2" max="17" width="13.88671875" style="2" customWidth="1"/>
    <col min="18" max="16384" width="12.5546875" style="2"/>
  </cols>
  <sheetData>
    <row r="1" spans="1:17" s="4" customFormat="1" ht="48.45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4" customFormat="1" ht="48.45" customHeight="1" x14ac:dyDescent="0.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4" customFormat="1" ht="48.45" customHeight="1" x14ac:dyDescent="0.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8</v>
      </c>
      <c r="I3" s="11" t="s">
        <v>9</v>
      </c>
      <c r="J3" s="12" t="s">
        <v>10</v>
      </c>
      <c r="K3" s="555" t="s">
        <v>11</v>
      </c>
      <c r="L3" s="555"/>
      <c r="M3" s="10" t="s">
        <v>12</v>
      </c>
      <c r="N3" s="556" t="s">
        <v>13</v>
      </c>
      <c r="O3" s="556"/>
      <c r="P3" s="10" t="s">
        <v>14</v>
      </c>
      <c r="Q3" s="11" t="s">
        <v>9</v>
      </c>
    </row>
    <row r="4" spans="1:17" s="4" customFormat="1" ht="48.45" customHeight="1" x14ac:dyDescent="0.5">
      <c r="A4" s="15" t="s">
        <v>15</v>
      </c>
      <c r="B4" s="16" t="s">
        <v>16</v>
      </c>
      <c r="C4" s="17"/>
      <c r="D4" s="17"/>
      <c r="E4" s="17"/>
      <c r="F4" s="17" t="s">
        <v>17</v>
      </c>
      <c r="G4" s="17" t="s">
        <v>18</v>
      </c>
      <c r="H4" s="18" t="s">
        <v>19</v>
      </c>
      <c r="I4" s="19" t="s">
        <v>20</v>
      </c>
      <c r="J4" s="20" t="s">
        <v>21</v>
      </c>
      <c r="K4" s="17" t="s">
        <v>22</v>
      </c>
      <c r="L4" s="17" t="s">
        <v>23</v>
      </c>
      <c r="M4" s="18" t="s">
        <v>24</v>
      </c>
      <c r="N4" s="17" t="s">
        <v>25</v>
      </c>
      <c r="O4" s="17" t="s">
        <v>26</v>
      </c>
      <c r="P4" s="18"/>
      <c r="Q4" s="21" t="s">
        <v>27</v>
      </c>
    </row>
    <row r="5" spans="1:17" s="4" customFormat="1" ht="48.45" customHeight="1" x14ac:dyDescent="0.5">
      <c r="A5" s="22" t="s">
        <v>28</v>
      </c>
      <c r="B5" s="23">
        <f>93+9</f>
        <v>102</v>
      </c>
      <c r="C5" s="24"/>
      <c r="D5" s="24">
        <f>239-9</f>
        <v>230</v>
      </c>
      <c r="E5" s="24"/>
      <c r="F5" s="24"/>
      <c r="G5" s="24">
        <v>17</v>
      </c>
      <c r="H5" s="25">
        <v>7</v>
      </c>
      <c r="I5" s="26">
        <f t="shared" ref="I5:I11" si="0">SUM(B5:H5)</f>
        <v>356</v>
      </c>
      <c r="J5" s="27">
        <v>356</v>
      </c>
      <c r="K5" s="28">
        <v>153</v>
      </c>
      <c r="L5" s="28"/>
      <c r="M5" s="28">
        <v>3</v>
      </c>
      <c r="N5" s="28">
        <v>-3</v>
      </c>
      <c r="O5" s="28">
        <v>-2</v>
      </c>
      <c r="P5" s="29">
        <v>78</v>
      </c>
      <c r="Q5" s="30">
        <f t="shared" ref="Q5:Q11" si="1">I5+SUM(K5:P5)</f>
        <v>585</v>
      </c>
    </row>
    <row r="6" spans="1:17" s="4" customFormat="1" ht="48.45" customHeight="1" x14ac:dyDescent="0.5">
      <c r="A6" s="31" t="s">
        <v>4</v>
      </c>
      <c r="B6" s="32">
        <f>13+1</f>
        <v>14</v>
      </c>
      <c r="C6" s="28">
        <v>90</v>
      </c>
      <c r="D6" s="28">
        <f>95-1-1</f>
        <v>93</v>
      </c>
      <c r="E6" s="28">
        <v>10</v>
      </c>
      <c r="F6" s="28">
        <v>42</v>
      </c>
      <c r="G6" s="28">
        <f>37+1</f>
        <v>38</v>
      </c>
      <c r="H6" s="30">
        <v>25</v>
      </c>
      <c r="I6" s="33">
        <f t="shared" si="0"/>
        <v>312</v>
      </c>
      <c r="J6" s="34">
        <v>312</v>
      </c>
      <c r="K6" s="28">
        <v>231</v>
      </c>
      <c r="L6" s="28"/>
      <c r="M6" s="28"/>
      <c r="N6" s="28"/>
      <c r="O6" s="28"/>
      <c r="P6" s="29">
        <v>23</v>
      </c>
      <c r="Q6" s="30">
        <f t="shared" si="1"/>
        <v>566</v>
      </c>
    </row>
    <row r="7" spans="1:17" s="4" customFormat="1" ht="48.45" customHeight="1" x14ac:dyDescent="0.5">
      <c r="A7" s="31" t="s">
        <v>29</v>
      </c>
      <c r="B7" s="32">
        <f>99+10</f>
        <v>109</v>
      </c>
      <c r="C7" s="28">
        <v>41</v>
      </c>
      <c r="D7" s="28">
        <f>1238+143-4-10</f>
        <v>1367</v>
      </c>
      <c r="E7" s="28">
        <v>241</v>
      </c>
      <c r="F7" s="28">
        <v>40</v>
      </c>
      <c r="G7" s="28">
        <f>244+4</f>
        <v>248</v>
      </c>
      <c r="H7" s="30">
        <v>148</v>
      </c>
      <c r="I7" s="33">
        <f t="shared" si="0"/>
        <v>2194</v>
      </c>
      <c r="J7" s="34">
        <v>2051</v>
      </c>
      <c r="K7" s="28">
        <v>1353</v>
      </c>
      <c r="L7" s="28">
        <v>45</v>
      </c>
      <c r="M7" s="28">
        <v>446</v>
      </c>
      <c r="N7" s="28">
        <v>9</v>
      </c>
      <c r="O7" s="28">
        <v>8</v>
      </c>
      <c r="P7" s="29">
        <v>914</v>
      </c>
      <c r="Q7" s="30">
        <f t="shared" si="1"/>
        <v>4969</v>
      </c>
    </row>
    <row r="8" spans="1:17" s="4" customFormat="1" ht="48.45" customHeight="1" x14ac:dyDescent="0.5">
      <c r="A8" s="31" t="s">
        <v>30</v>
      </c>
      <c r="B8" s="32">
        <v>1</v>
      </c>
      <c r="C8" s="28">
        <v>10</v>
      </c>
      <c r="D8" s="28">
        <v>4</v>
      </c>
      <c r="E8" s="28">
        <v>39</v>
      </c>
      <c r="F8" s="28">
        <v>2</v>
      </c>
      <c r="G8" s="28">
        <v>19</v>
      </c>
      <c r="H8" s="30">
        <v>35</v>
      </c>
      <c r="I8" s="33">
        <f t="shared" si="0"/>
        <v>110</v>
      </c>
      <c r="J8" s="34">
        <v>71</v>
      </c>
      <c r="K8" s="28">
        <v>27</v>
      </c>
      <c r="L8" s="28"/>
      <c r="M8" s="28">
        <f>580-34</f>
        <v>546</v>
      </c>
      <c r="N8" s="28" t="s">
        <v>17</v>
      </c>
      <c r="O8" s="28">
        <v>1</v>
      </c>
      <c r="P8" s="29" t="s">
        <v>17</v>
      </c>
      <c r="Q8" s="30">
        <f t="shared" si="1"/>
        <v>684</v>
      </c>
    </row>
    <row r="9" spans="1:17" s="4" customFormat="1" ht="48.45" customHeight="1" x14ac:dyDescent="0.5">
      <c r="A9" s="35" t="s">
        <v>31</v>
      </c>
      <c r="B9" s="36">
        <f>14+1</f>
        <v>15</v>
      </c>
      <c r="C9" s="37">
        <v>40</v>
      </c>
      <c r="D9" s="37">
        <f>602-9-1</f>
        <v>592</v>
      </c>
      <c r="E9" s="37">
        <v>119</v>
      </c>
      <c r="F9" s="37">
        <f>170-68</f>
        <v>102</v>
      </c>
      <c r="G9" s="37">
        <f>551+9-34</f>
        <v>526</v>
      </c>
      <c r="H9" s="38">
        <v>99</v>
      </c>
      <c r="I9" s="39">
        <f t="shared" si="0"/>
        <v>1493</v>
      </c>
      <c r="J9" s="40">
        <v>1527</v>
      </c>
      <c r="K9" s="37">
        <v>1233</v>
      </c>
      <c r="L9" s="37"/>
      <c r="M9" s="37">
        <f>54+34</f>
        <v>88</v>
      </c>
      <c r="N9" s="37"/>
      <c r="O9" s="37"/>
      <c r="P9" s="41">
        <v>258</v>
      </c>
      <c r="Q9" s="30">
        <f t="shared" si="1"/>
        <v>3072</v>
      </c>
    </row>
    <row r="10" spans="1:17" s="4" customFormat="1" ht="48.45" customHeight="1" x14ac:dyDescent="0.5">
      <c r="A10" s="31" t="s">
        <v>32</v>
      </c>
      <c r="B10" s="32"/>
      <c r="C10" s="28"/>
      <c r="D10" s="28"/>
      <c r="E10" s="28"/>
      <c r="F10" s="28"/>
      <c r="G10" s="28"/>
      <c r="H10" s="30"/>
      <c r="I10" s="33">
        <f t="shared" si="0"/>
        <v>0</v>
      </c>
      <c r="J10" s="42">
        <f>SUM(C10:I10)</f>
        <v>0</v>
      </c>
      <c r="K10" s="28">
        <v>87</v>
      </c>
      <c r="L10" s="28">
        <v>1075</v>
      </c>
      <c r="M10" s="28"/>
      <c r="N10" s="28"/>
      <c r="O10" s="28"/>
      <c r="P10" s="29"/>
      <c r="Q10" s="30">
        <f t="shared" si="1"/>
        <v>1162</v>
      </c>
    </row>
    <row r="11" spans="1:17" s="4" customFormat="1" ht="48.45" customHeight="1" x14ac:dyDescent="0.5">
      <c r="A11" s="43" t="s">
        <v>33</v>
      </c>
      <c r="B11" s="44">
        <f t="shared" ref="B11:H11" si="2">SUM(B5:B10)</f>
        <v>241</v>
      </c>
      <c r="C11" s="45">
        <f t="shared" si="2"/>
        <v>181</v>
      </c>
      <c r="D11" s="45">
        <f t="shared" si="2"/>
        <v>2286</v>
      </c>
      <c r="E11" s="45">
        <f t="shared" si="2"/>
        <v>409</v>
      </c>
      <c r="F11" s="45">
        <f t="shared" si="2"/>
        <v>186</v>
      </c>
      <c r="G11" s="45">
        <f t="shared" si="2"/>
        <v>848</v>
      </c>
      <c r="H11" s="46">
        <f t="shared" si="2"/>
        <v>314</v>
      </c>
      <c r="I11" s="47">
        <f t="shared" si="0"/>
        <v>4465</v>
      </c>
      <c r="J11" s="48">
        <f>SUM(J5:J10)</f>
        <v>4317</v>
      </c>
      <c r="K11" s="49">
        <v>3084</v>
      </c>
      <c r="L11" s="45">
        <f>SUM(L5:L10)</f>
        <v>1120</v>
      </c>
      <c r="M11" s="45">
        <f>SUM(M5:M10)</f>
        <v>1083</v>
      </c>
      <c r="N11" s="45">
        <f>SUM(N5:N10)</f>
        <v>6</v>
      </c>
      <c r="O11" s="45">
        <f>SUM(O5:O10)</f>
        <v>7</v>
      </c>
      <c r="P11" s="50">
        <f>SUM(P5:P10)</f>
        <v>1273</v>
      </c>
      <c r="Q11" s="46">
        <f t="shared" si="1"/>
        <v>11038</v>
      </c>
    </row>
    <row r="12" spans="1:17" s="4" customFormat="1" ht="48.45" customHeight="1" x14ac:dyDescent="0.5">
      <c r="A12" s="15" t="s">
        <v>34</v>
      </c>
      <c r="B12" s="32">
        <f t="shared" ref="B12:I12" si="3">B13-B11</f>
        <v>234</v>
      </c>
      <c r="C12" s="28">
        <f t="shared" si="3"/>
        <v>185</v>
      </c>
      <c r="D12" s="28">
        <f t="shared" si="3"/>
        <v>858</v>
      </c>
      <c r="E12" s="28">
        <f t="shared" si="3"/>
        <v>275</v>
      </c>
      <c r="F12" s="28">
        <f t="shared" si="3"/>
        <v>838</v>
      </c>
      <c r="G12" s="28">
        <f t="shared" si="3"/>
        <v>1976</v>
      </c>
      <c r="H12" s="28">
        <f t="shared" si="3"/>
        <v>946</v>
      </c>
      <c r="I12" s="33">
        <f t="shared" si="3"/>
        <v>5312</v>
      </c>
      <c r="J12" s="51"/>
      <c r="K12" s="51"/>
      <c r="L12" s="51"/>
      <c r="M12" s="51"/>
      <c r="N12" s="51"/>
      <c r="O12" s="51"/>
      <c r="P12" s="51"/>
      <c r="Q12" s="51"/>
    </row>
    <row r="13" spans="1:17" s="4" customFormat="1" ht="48.45" customHeight="1" x14ac:dyDescent="0.5">
      <c r="A13" s="52" t="s">
        <v>35</v>
      </c>
      <c r="B13" s="23">
        <f>431+44</f>
        <v>475</v>
      </c>
      <c r="C13" s="24">
        <v>366</v>
      </c>
      <c r="D13" s="24">
        <f>3089+143-44-44</f>
        <v>3144</v>
      </c>
      <c r="E13" s="24">
        <f>679+39-34</f>
        <v>684</v>
      </c>
      <c r="F13" s="24">
        <v>1024</v>
      </c>
      <c r="G13" s="24">
        <f>3010-162-68+44</f>
        <v>2824</v>
      </c>
      <c r="H13" s="25">
        <v>1260</v>
      </c>
      <c r="I13" s="26">
        <f t="shared" ref="I13:I18" si="4">SUM(B13:H13)</f>
        <v>9777</v>
      </c>
      <c r="J13" s="51"/>
      <c r="K13" s="51"/>
      <c r="L13" s="51"/>
      <c r="M13" s="51"/>
      <c r="N13" s="51"/>
      <c r="O13" s="51"/>
      <c r="P13" s="51"/>
      <c r="Q13" s="51"/>
    </row>
    <row r="14" spans="1:17" s="4" customFormat="1" ht="48.45" customHeight="1" x14ac:dyDescent="0.5">
      <c r="A14" s="31" t="s">
        <v>36</v>
      </c>
      <c r="B14" s="36">
        <v>-44</v>
      </c>
      <c r="C14" s="28"/>
      <c r="D14" s="28">
        <v>44</v>
      </c>
      <c r="E14" s="28"/>
      <c r="F14" s="28"/>
      <c r="G14" s="28"/>
      <c r="H14" s="30"/>
      <c r="I14" s="33">
        <f t="shared" si="4"/>
        <v>0</v>
      </c>
      <c r="J14" s="51"/>
      <c r="K14" s="51"/>
      <c r="L14" s="51"/>
      <c r="M14" s="51"/>
      <c r="N14" s="51"/>
      <c r="O14" s="51"/>
      <c r="P14" s="51"/>
      <c r="Q14" s="51"/>
    </row>
    <row r="15" spans="1:17" s="4" customFormat="1" ht="48.45" customHeight="1" x14ac:dyDescent="0.5">
      <c r="A15" s="43" t="s">
        <v>37</v>
      </c>
      <c r="B15" s="44"/>
      <c r="C15" s="45"/>
      <c r="D15" s="45">
        <v>11</v>
      </c>
      <c r="E15" s="45"/>
      <c r="F15" s="45"/>
      <c r="G15" s="45">
        <v>87</v>
      </c>
      <c r="H15" s="46">
        <v>-98</v>
      </c>
      <c r="I15" s="47">
        <f t="shared" si="4"/>
        <v>0</v>
      </c>
      <c r="J15" s="51"/>
      <c r="K15" s="51"/>
      <c r="L15" s="51"/>
      <c r="M15" s="51"/>
      <c r="N15" s="51"/>
      <c r="O15" s="51"/>
      <c r="P15" s="51"/>
      <c r="Q15" s="51"/>
    </row>
    <row r="16" spans="1:17" s="4" customFormat="1" ht="48.45" customHeight="1" x14ac:dyDescent="0.5">
      <c r="A16" s="53" t="s">
        <v>38</v>
      </c>
      <c r="B16" s="28">
        <f t="shared" ref="B16:H16" si="5">B13+B14+B15</f>
        <v>431</v>
      </c>
      <c r="C16" s="28">
        <f t="shared" si="5"/>
        <v>366</v>
      </c>
      <c r="D16" s="28">
        <f t="shared" si="5"/>
        <v>3199</v>
      </c>
      <c r="E16" s="28">
        <f t="shared" si="5"/>
        <v>684</v>
      </c>
      <c r="F16" s="28">
        <f t="shared" si="5"/>
        <v>1024</v>
      </c>
      <c r="G16" s="28">
        <f t="shared" si="5"/>
        <v>2911</v>
      </c>
      <c r="H16" s="30">
        <f t="shared" si="5"/>
        <v>1162</v>
      </c>
      <c r="I16" s="33">
        <f t="shared" si="4"/>
        <v>9777</v>
      </c>
      <c r="J16" s="51"/>
      <c r="K16" s="51"/>
      <c r="L16" s="51"/>
      <c r="M16" s="51"/>
      <c r="N16" s="51"/>
      <c r="O16" s="51"/>
      <c r="P16" s="51"/>
      <c r="Q16" s="51"/>
    </row>
    <row r="17" spans="1:17" s="4" customFormat="1" ht="48.45" customHeight="1" x14ac:dyDescent="0.5">
      <c r="A17" s="31" t="s">
        <v>39</v>
      </c>
      <c r="B17" s="32">
        <v>49</v>
      </c>
      <c r="C17" s="28">
        <v>90</v>
      </c>
      <c r="D17" s="28">
        <v>938</v>
      </c>
      <c r="E17" s="28"/>
      <c r="F17" s="28"/>
      <c r="G17" s="28">
        <v>161</v>
      </c>
      <c r="H17" s="28"/>
      <c r="I17" s="33">
        <f t="shared" si="4"/>
        <v>1238</v>
      </c>
      <c r="J17" s="51"/>
      <c r="K17" s="51"/>
      <c r="L17" s="51"/>
      <c r="M17" s="51"/>
      <c r="N17" s="51"/>
      <c r="O17" s="51"/>
      <c r="P17" s="51"/>
      <c r="Q17" s="51"/>
    </row>
    <row r="18" spans="1:17" s="4" customFormat="1" ht="48.45" customHeight="1" x14ac:dyDescent="0.5">
      <c r="A18" s="31" t="s">
        <v>40</v>
      </c>
      <c r="B18" s="32">
        <v>1</v>
      </c>
      <c r="C18" s="28"/>
      <c r="D18" s="28">
        <v>9</v>
      </c>
      <c r="E18" s="28"/>
      <c r="F18" s="28"/>
      <c r="G18" s="28"/>
      <c r="H18" s="28"/>
      <c r="I18" s="33">
        <f t="shared" si="4"/>
        <v>10</v>
      </c>
      <c r="J18" s="51"/>
      <c r="K18" s="51"/>
      <c r="L18" s="51"/>
      <c r="M18" s="54"/>
      <c r="N18" s="51"/>
      <c r="O18" s="51"/>
      <c r="P18" s="51"/>
      <c r="Q18" s="51"/>
    </row>
    <row r="19" spans="1:17" s="4" customFormat="1" ht="48.45" customHeight="1" x14ac:dyDescent="0.5">
      <c r="A19" s="35" t="s">
        <v>41</v>
      </c>
      <c r="B19" s="55"/>
      <c r="C19" s="56"/>
      <c r="D19" s="56"/>
      <c r="E19" s="56"/>
      <c r="F19" s="56"/>
      <c r="G19" s="56"/>
      <c r="H19" s="56"/>
      <c r="I19" s="57"/>
      <c r="J19" s="51"/>
      <c r="K19" s="51"/>
      <c r="L19" s="51"/>
      <c r="M19" s="51"/>
      <c r="N19" s="51"/>
      <c r="O19" s="51"/>
      <c r="P19" s="51"/>
      <c r="Q19" s="51"/>
    </row>
    <row r="20" spans="1:17" s="4" customFormat="1" ht="48.45" customHeight="1" x14ac:dyDescent="0.5">
      <c r="A20" s="58" t="s">
        <v>42</v>
      </c>
      <c r="B20" s="59">
        <v>44</v>
      </c>
      <c r="C20" s="60">
        <v>28</v>
      </c>
      <c r="D20" s="60">
        <v>284</v>
      </c>
      <c r="E20" s="60"/>
      <c r="F20" s="60">
        <f>-SUM(B20:D20)</f>
        <v>-356</v>
      </c>
      <c r="G20" s="60"/>
      <c r="H20" s="60"/>
      <c r="I20" s="61">
        <f>SUM(B20:H20)</f>
        <v>0</v>
      </c>
      <c r="J20" s="51"/>
      <c r="K20" s="51"/>
      <c r="L20" s="51"/>
      <c r="M20" s="62"/>
      <c r="N20" s="51"/>
      <c r="O20" s="51"/>
      <c r="P20" s="51"/>
      <c r="Q20" s="51"/>
    </row>
    <row r="21" spans="1:17" s="4" customFormat="1" ht="48.45" customHeight="1" x14ac:dyDescent="0.5">
      <c r="A21" s="31" t="s">
        <v>43</v>
      </c>
      <c r="B21" s="32">
        <v>76</v>
      </c>
      <c r="C21" s="28">
        <v>41</v>
      </c>
      <c r="D21" s="28">
        <v>476</v>
      </c>
      <c r="E21" s="28"/>
      <c r="F21" s="28">
        <f>-SUM(B21:D21)</f>
        <v>-593</v>
      </c>
      <c r="G21" s="28"/>
      <c r="H21" s="28"/>
      <c r="I21" s="33">
        <f>SUM(B21:H21)</f>
        <v>0</v>
      </c>
      <c r="J21" s="51"/>
      <c r="K21" s="51"/>
      <c r="L21" s="51"/>
      <c r="M21" s="51"/>
      <c r="N21" s="51"/>
      <c r="O21" s="51"/>
      <c r="P21" s="51"/>
      <c r="Q21" s="51"/>
    </row>
    <row r="22" spans="1:17" s="4" customFormat="1" ht="48.45" customHeight="1" x14ac:dyDescent="0.5">
      <c r="A22" s="31" t="s">
        <v>44</v>
      </c>
      <c r="B22" s="32"/>
      <c r="C22" s="28"/>
      <c r="D22" s="28">
        <v>35</v>
      </c>
      <c r="E22" s="28"/>
      <c r="F22" s="28">
        <f>-SUM(B22:D22)</f>
        <v>-35</v>
      </c>
      <c r="G22" s="28"/>
      <c r="H22" s="28"/>
      <c r="I22" s="33">
        <f>SUM(B22:H22)</f>
        <v>0</v>
      </c>
      <c r="J22" s="51"/>
      <c r="K22" s="51"/>
      <c r="L22" s="51"/>
      <c r="M22" s="51"/>
      <c r="N22" s="51"/>
      <c r="O22" s="51"/>
      <c r="P22" s="51"/>
      <c r="Q22" s="51"/>
    </row>
    <row r="23" spans="1:17" s="4" customFormat="1" ht="48.45" customHeight="1" x14ac:dyDescent="0.5">
      <c r="A23" s="31" t="s">
        <v>45</v>
      </c>
      <c r="B23" s="32">
        <v>12</v>
      </c>
      <c r="C23" s="28"/>
      <c r="D23" s="28">
        <v>28</v>
      </c>
      <c r="E23" s="28"/>
      <c r="F23" s="28">
        <f>-SUM(B23:D23)</f>
        <v>-40</v>
      </c>
      <c r="G23" s="28"/>
      <c r="H23" s="28"/>
      <c r="I23" s="33">
        <f>SUM(B23:H23)</f>
        <v>0</v>
      </c>
      <c r="J23" s="51"/>
      <c r="K23" s="51"/>
      <c r="L23" s="51"/>
      <c r="M23" s="51"/>
      <c r="N23" s="51"/>
      <c r="O23" s="51"/>
      <c r="P23" s="51"/>
      <c r="Q23" s="51"/>
    </row>
    <row r="24" spans="1:17" s="4" customFormat="1" ht="48.45" customHeight="1" x14ac:dyDescent="0.5">
      <c r="A24" s="63" t="s">
        <v>46</v>
      </c>
      <c r="B24" s="36">
        <v>-28</v>
      </c>
      <c r="C24" s="37">
        <v>41</v>
      </c>
      <c r="D24" s="37"/>
      <c r="E24" s="37"/>
      <c r="F24" s="37"/>
      <c r="G24" s="37"/>
      <c r="H24" s="37"/>
      <c r="I24" s="39">
        <f>SUM(B24:H24)</f>
        <v>13</v>
      </c>
      <c r="J24" s="51"/>
      <c r="K24" s="51"/>
      <c r="L24" s="51"/>
      <c r="M24" s="51"/>
      <c r="N24" s="51"/>
      <c r="O24" s="51"/>
      <c r="P24" s="51"/>
      <c r="Q24" s="51"/>
    </row>
    <row r="25" spans="1:17" s="4" customFormat="1" ht="48.45" customHeight="1" x14ac:dyDescent="0.5">
      <c r="A25" s="64" t="s">
        <v>47</v>
      </c>
      <c r="B25" s="65">
        <f t="shared" ref="B25:I25" si="6">SUM(B16:B24)</f>
        <v>585</v>
      </c>
      <c r="C25" s="66">
        <f t="shared" si="6"/>
        <v>566</v>
      </c>
      <c r="D25" s="66">
        <f t="shared" si="6"/>
        <v>4969</v>
      </c>
      <c r="E25" s="66">
        <f t="shared" si="6"/>
        <v>684</v>
      </c>
      <c r="F25" s="66">
        <f t="shared" si="6"/>
        <v>0</v>
      </c>
      <c r="G25" s="66">
        <f t="shared" si="6"/>
        <v>3072</v>
      </c>
      <c r="H25" s="66">
        <f t="shared" si="6"/>
        <v>1162</v>
      </c>
      <c r="I25" s="67">
        <f t="shared" si="6"/>
        <v>11038</v>
      </c>
      <c r="J25" s="51"/>
      <c r="K25" s="51"/>
      <c r="L25" s="51"/>
      <c r="M25" s="51"/>
      <c r="N25" s="51"/>
      <c r="O25" s="51"/>
      <c r="P25" s="51"/>
      <c r="Q25" s="51"/>
    </row>
  </sheetData>
  <sheetProtection selectLockedCells="1" selectUnlockedCells="1"/>
  <mergeCells count="3">
    <mergeCell ref="A1:P1"/>
    <mergeCell ref="K3:L3"/>
    <mergeCell ref="N3:O3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2002&amp;C&amp;16Exercice TES     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0" zoomScaleNormal="50" workbookViewId="0">
      <selection sqref="A1:Q25"/>
    </sheetView>
  </sheetViews>
  <sheetFormatPr baseColWidth="10" defaultColWidth="11.44140625" defaultRowHeight="17.399999999999999" x14ac:dyDescent="0.3"/>
  <cols>
    <col min="1" max="1" width="46.44140625" style="2" customWidth="1"/>
    <col min="2" max="17" width="13.88671875" style="2" customWidth="1"/>
    <col min="18" max="16384" width="11.44140625" style="2"/>
  </cols>
  <sheetData>
    <row r="1" spans="1:17" ht="46.5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8"/>
    </row>
    <row r="2" spans="1:17" ht="46.5" customHeight="1" x14ac:dyDescent="0.5">
      <c r="A2" s="5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70"/>
    </row>
    <row r="3" spans="1:17" s="71" customFormat="1" ht="46.5" customHeight="1" x14ac:dyDescent="0.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8</v>
      </c>
      <c r="I3" s="11" t="s">
        <v>9</v>
      </c>
      <c r="J3" s="11" t="s">
        <v>48</v>
      </c>
      <c r="K3" s="13" t="s">
        <v>11</v>
      </c>
      <c r="L3" s="14"/>
      <c r="M3" s="10" t="s">
        <v>12</v>
      </c>
      <c r="N3" s="14" t="s">
        <v>13</v>
      </c>
      <c r="O3" s="14"/>
      <c r="P3" s="10" t="s">
        <v>14</v>
      </c>
      <c r="Q3" s="11" t="s">
        <v>9</v>
      </c>
    </row>
    <row r="4" spans="1:17" s="71" customFormat="1" ht="46.5" customHeight="1" x14ac:dyDescent="0.5">
      <c r="A4" s="15" t="s">
        <v>15</v>
      </c>
      <c r="B4" s="16" t="s">
        <v>16</v>
      </c>
      <c r="C4" s="17"/>
      <c r="D4" s="17"/>
      <c r="E4" s="72"/>
      <c r="F4" s="17" t="s">
        <v>17</v>
      </c>
      <c r="G4" s="17" t="s">
        <v>18</v>
      </c>
      <c r="H4" s="18" t="s">
        <v>19</v>
      </c>
      <c r="I4" s="19" t="s">
        <v>20</v>
      </c>
      <c r="J4" s="19" t="s">
        <v>21</v>
      </c>
      <c r="K4" s="17" t="s">
        <v>22</v>
      </c>
      <c r="L4" s="17" t="s">
        <v>23</v>
      </c>
      <c r="M4" s="18" t="s">
        <v>24</v>
      </c>
      <c r="N4" s="17" t="s">
        <v>25</v>
      </c>
      <c r="O4" s="17" t="s">
        <v>26</v>
      </c>
      <c r="P4" s="18"/>
      <c r="Q4" s="21" t="s">
        <v>27</v>
      </c>
    </row>
    <row r="5" spans="1:17" ht="46.5" customHeight="1" x14ac:dyDescent="0.45">
      <c r="A5" s="22" t="s">
        <v>28</v>
      </c>
      <c r="B5" s="73"/>
      <c r="C5" s="74"/>
      <c r="D5" s="74"/>
      <c r="E5" s="74"/>
      <c r="F5" s="74"/>
      <c r="G5" s="74"/>
      <c r="H5" s="75"/>
      <c r="I5" s="76"/>
      <c r="J5" s="76">
        <f>agric!D15</f>
        <v>349</v>
      </c>
      <c r="K5" s="77">
        <f>agric!D16</f>
        <v>156</v>
      </c>
      <c r="L5" s="77"/>
      <c r="M5" s="77">
        <f>agric!D17</f>
        <v>4</v>
      </c>
      <c r="N5" s="77">
        <f>agric!D18</f>
        <v>8</v>
      </c>
      <c r="O5" s="77">
        <f>agric!D19</f>
        <v>4</v>
      </c>
      <c r="P5" s="78">
        <f>agric!D20</f>
        <v>81</v>
      </c>
      <c r="Q5" s="79">
        <f>SUM(J5:P5)</f>
        <v>602</v>
      </c>
    </row>
    <row r="6" spans="1:17" ht="46.5" customHeight="1" x14ac:dyDescent="0.45">
      <c r="A6" s="31" t="s">
        <v>4</v>
      </c>
      <c r="B6" s="80"/>
      <c r="C6" s="77"/>
      <c r="D6" s="77"/>
      <c r="E6" s="77"/>
      <c r="F6" s="77"/>
      <c r="G6" s="77"/>
      <c r="H6" s="81"/>
      <c r="I6" s="82"/>
      <c r="J6" s="82">
        <f>energ!D12</f>
        <v>328</v>
      </c>
      <c r="K6" s="77">
        <f>energ!D13</f>
        <v>237</v>
      </c>
      <c r="L6" s="77"/>
      <c r="M6" s="77"/>
      <c r="N6" s="77"/>
      <c r="O6" s="77"/>
      <c r="P6" s="78">
        <f>energ!D14</f>
        <v>23</v>
      </c>
      <c r="Q6" s="79">
        <f>SUM(J6:P6)</f>
        <v>588</v>
      </c>
    </row>
    <row r="7" spans="1:17" ht="46.5" customHeight="1" x14ac:dyDescent="0.45">
      <c r="A7" s="31" t="s">
        <v>29</v>
      </c>
      <c r="B7" s="80"/>
      <c r="C7" s="77"/>
      <c r="D7" s="77"/>
      <c r="E7" s="77"/>
      <c r="F7" s="77"/>
      <c r="G7" s="77"/>
      <c r="H7" s="81"/>
      <c r="I7" s="82"/>
      <c r="J7" s="82">
        <f>indus1!D17+indus1!D18</f>
        <v>2265</v>
      </c>
      <c r="K7" s="77">
        <f>indus1!D19</f>
        <v>1392</v>
      </c>
      <c r="L7" s="77">
        <f>indus1!D20</f>
        <v>48</v>
      </c>
      <c r="M7" s="77">
        <f>indus1!D21</f>
        <v>460</v>
      </c>
      <c r="N7" s="77">
        <f>indus1!D22</f>
        <v>-2</v>
      </c>
      <c r="O7" s="77">
        <f>indus1!D23</f>
        <v>0</v>
      </c>
      <c r="P7" s="78">
        <f>indus1!D24</f>
        <v>975</v>
      </c>
      <c r="Q7" s="79">
        <f>SUM(J7:P7)</f>
        <v>5138</v>
      </c>
    </row>
    <row r="8" spans="1:17" ht="46.5" customHeight="1" x14ac:dyDescent="0.45">
      <c r="A8" s="31" t="s">
        <v>30</v>
      </c>
      <c r="B8" s="80"/>
      <c r="C8" s="77"/>
      <c r="D8" s="77"/>
      <c r="E8" s="77"/>
      <c r="F8" s="77"/>
      <c r="G8" s="77"/>
      <c r="H8" s="81"/>
      <c r="I8" s="82"/>
      <c r="J8" s="82">
        <f>'btp2'!D8+'btp2'!D9</f>
        <v>114</v>
      </c>
      <c r="K8" s="77">
        <f>'btp2'!D10</f>
        <v>28</v>
      </c>
      <c r="L8" s="77"/>
      <c r="M8" s="77">
        <f>'btp2'!D11</f>
        <v>570</v>
      </c>
      <c r="N8" s="77"/>
      <c r="O8" s="77">
        <f>'btp2'!D12</f>
        <v>1</v>
      </c>
      <c r="P8" s="78"/>
      <c r="Q8" s="79">
        <f>SUM(J8:P8)</f>
        <v>713</v>
      </c>
    </row>
    <row r="9" spans="1:17" ht="46.5" customHeight="1" x14ac:dyDescent="0.45">
      <c r="A9" s="35" t="s">
        <v>31</v>
      </c>
      <c r="B9" s="83"/>
      <c r="C9" s="84"/>
      <c r="D9" s="84"/>
      <c r="E9" s="84"/>
      <c r="F9" s="84"/>
      <c r="G9" s="84"/>
      <c r="H9" s="85"/>
      <c r="I9" s="86"/>
      <c r="J9" s="86">
        <f>Serv.Mrchd1!D11</f>
        <v>-1655</v>
      </c>
      <c r="K9" s="84">
        <f>Serv.Mrchd1!D12</f>
        <v>1286</v>
      </c>
      <c r="L9" s="84"/>
      <c r="M9" s="84">
        <f>Serv.Mrchd1!D13</f>
        <v>91</v>
      </c>
      <c r="N9" s="84"/>
      <c r="O9" s="84"/>
      <c r="P9" s="87">
        <f>Serv.Mrchd1!D14</f>
        <v>278</v>
      </c>
      <c r="Q9" s="79">
        <f>SUM(J9:P9)</f>
        <v>0</v>
      </c>
    </row>
    <row r="10" spans="1:17" ht="46.5" customHeight="1" x14ac:dyDescent="0.45">
      <c r="A10" s="31" t="s">
        <v>32</v>
      </c>
      <c r="B10" s="80"/>
      <c r="C10" s="77"/>
      <c r="D10" s="77"/>
      <c r="E10" s="77"/>
      <c r="F10" s="77"/>
      <c r="G10" s="77"/>
      <c r="H10" s="81"/>
      <c r="I10" s="82"/>
      <c r="J10" s="82">
        <v>0</v>
      </c>
      <c r="K10" s="77">
        <f>servNM!D10</f>
        <v>89</v>
      </c>
      <c r="L10" s="77">
        <f>servNM!D11</f>
        <v>1092</v>
      </c>
      <c r="M10" s="77"/>
      <c r="N10" s="77"/>
      <c r="O10" s="77"/>
      <c r="P10" s="78"/>
      <c r="Q10" s="79">
        <f>SUM(K10:P10)</f>
        <v>1181</v>
      </c>
    </row>
    <row r="11" spans="1:17" ht="46.5" customHeight="1" x14ac:dyDescent="0.45">
      <c r="A11" s="43" t="s">
        <v>33</v>
      </c>
      <c r="B11" s="88"/>
      <c r="C11" s="89"/>
      <c r="D11" s="89"/>
      <c r="E11" s="89"/>
      <c r="F11" s="89"/>
      <c r="G11" s="89"/>
      <c r="H11" s="90"/>
      <c r="I11" s="91"/>
      <c r="J11" s="92">
        <f t="shared" ref="J11:Q11" si="0">SUM(J5:J10)</f>
        <v>1401</v>
      </c>
      <c r="K11" s="93">
        <f t="shared" si="0"/>
        <v>3188</v>
      </c>
      <c r="L11" s="89">
        <f t="shared" si="0"/>
        <v>1140</v>
      </c>
      <c r="M11" s="89">
        <f t="shared" si="0"/>
        <v>1125</v>
      </c>
      <c r="N11" s="89">
        <f t="shared" si="0"/>
        <v>6</v>
      </c>
      <c r="O11" s="89">
        <f t="shared" si="0"/>
        <v>5</v>
      </c>
      <c r="P11" s="94">
        <f t="shared" si="0"/>
        <v>1357</v>
      </c>
      <c r="Q11" s="95">
        <f t="shared" si="0"/>
        <v>8222</v>
      </c>
    </row>
    <row r="12" spans="1:17" ht="46.5" customHeight="1" x14ac:dyDescent="0.5">
      <c r="A12" s="15" t="s">
        <v>34</v>
      </c>
      <c r="B12" s="96"/>
      <c r="C12" s="97"/>
      <c r="D12" s="97"/>
      <c r="E12" s="97"/>
      <c r="F12" s="97"/>
      <c r="G12" s="97"/>
      <c r="H12" s="98"/>
      <c r="I12" s="99"/>
      <c r="J12" s="69"/>
      <c r="K12" s="69"/>
      <c r="L12" s="69"/>
      <c r="M12" s="69"/>
      <c r="N12" s="69"/>
      <c r="O12" s="69"/>
      <c r="P12" s="70"/>
      <c r="Q12" s="100"/>
    </row>
    <row r="13" spans="1:17" ht="46.5" customHeight="1" x14ac:dyDescent="0.5">
      <c r="A13" s="52" t="s">
        <v>35</v>
      </c>
      <c r="B13" s="73">
        <f>agric!D5</f>
        <v>493</v>
      </c>
      <c r="C13" s="74">
        <f>energ!D6</f>
        <v>382</v>
      </c>
      <c r="D13" s="74">
        <f>indus1!D6</f>
        <v>3213</v>
      </c>
      <c r="E13" s="74">
        <f>'btp2'!D5</f>
        <v>713</v>
      </c>
      <c r="F13" s="74"/>
      <c r="G13" s="74">
        <f>Serv.Mrchd2!D5</f>
        <v>3008</v>
      </c>
      <c r="H13" s="75">
        <f>servNM!D5</f>
        <v>1286</v>
      </c>
      <c r="I13" s="76"/>
      <c r="J13" s="69"/>
      <c r="K13" s="69"/>
      <c r="L13" s="69"/>
      <c r="M13" s="69"/>
      <c r="N13" s="69"/>
      <c r="O13" s="69"/>
      <c r="P13" s="70"/>
      <c r="Q13" s="70"/>
    </row>
    <row r="14" spans="1:17" ht="46.5" customHeight="1" x14ac:dyDescent="0.45">
      <c r="A14" s="31" t="s">
        <v>36</v>
      </c>
      <c r="B14" s="80">
        <f>agric!D6</f>
        <v>-47</v>
      </c>
      <c r="C14" s="77"/>
      <c r="D14" s="77">
        <f>indus1!D7</f>
        <v>47</v>
      </c>
      <c r="E14" s="77"/>
      <c r="F14" s="77"/>
      <c r="G14" s="77"/>
      <c r="H14" s="81"/>
      <c r="I14" s="82"/>
      <c r="J14" s="69"/>
      <c r="K14" s="69"/>
      <c r="L14" s="69"/>
      <c r="M14" s="69"/>
      <c r="N14" s="69"/>
      <c r="O14" s="69"/>
      <c r="P14" s="70"/>
      <c r="Q14" s="70"/>
    </row>
    <row r="15" spans="1:17" ht="46.5" customHeight="1" x14ac:dyDescent="0.45">
      <c r="A15" s="43" t="s">
        <v>37</v>
      </c>
      <c r="B15" s="88"/>
      <c r="C15" s="89"/>
      <c r="D15" s="89">
        <f>indus1!D8</f>
        <v>12</v>
      </c>
      <c r="E15" s="89"/>
      <c r="F15" s="89"/>
      <c r="G15" s="89">
        <f>Serv.Mrchd2!D6</f>
        <v>93</v>
      </c>
      <c r="H15" s="90">
        <f>servNM!D6</f>
        <v>-105</v>
      </c>
      <c r="I15" s="91"/>
      <c r="J15" s="69"/>
      <c r="K15" s="69"/>
      <c r="L15" s="69"/>
      <c r="M15" s="69"/>
      <c r="N15" s="69"/>
      <c r="O15" s="69"/>
      <c r="P15" s="70"/>
      <c r="Q15" s="70"/>
    </row>
    <row r="16" spans="1:17" ht="46.5" customHeight="1" x14ac:dyDescent="0.5">
      <c r="A16" s="53" t="s">
        <v>38</v>
      </c>
      <c r="B16" s="80">
        <f>SUM(B13:B15)</f>
        <v>446</v>
      </c>
      <c r="C16" s="77">
        <f>SUM(C13:C15)</f>
        <v>382</v>
      </c>
      <c r="D16" s="77">
        <f>SUM(D13:D15)</f>
        <v>3272</v>
      </c>
      <c r="E16" s="77">
        <f>SUM(E13:E15)</f>
        <v>713</v>
      </c>
      <c r="F16" s="77"/>
      <c r="G16" s="77">
        <f>SUM(G13:G15)</f>
        <v>3101</v>
      </c>
      <c r="H16" s="81">
        <f>SUM(H13:H15)</f>
        <v>1181</v>
      </c>
      <c r="I16" s="82"/>
      <c r="J16" s="69"/>
      <c r="K16" s="69"/>
      <c r="L16" s="69"/>
      <c r="M16" s="69"/>
      <c r="N16" s="69"/>
      <c r="O16" s="69"/>
      <c r="P16" s="70"/>
      <c r="Q16" s="70"/>
    </row>
    <row r="17" spans="1:17" ht="46.5" customHeight="1" x14ac:dyDescent="0.45">
      <c r="A17" s="31" t="s">
        <v>39</v>
      </c>
      <c r="B17" s="80">
        <f>agric!D8</f>
        <v>51</v>
      </c>
      <c r="C17" s="77">
        <f>energ!D7</f>
        <v>92</v>
      </c>
      <c r="D17" s="77">
        <f>indus1!D10</f>
        <v>1007</v>
      </c>
      <c r="E17" s="77"/>
      <c r="F17" s="77"/>
      <c r="G17" s="77">
        <f>Serv.Mrchd2!D8</f>
        <v>172</v>
      </c>
      <c r="H17" s="77"/>
      <c r="I17" s="82"/>
      <c r="J17" s="69"/>
      <c r="K17" s="69"/>
      <c r="L17" s="69"/>
      <c r="M17" s="69"/>
      <c r="N17" s="69"/>
      <c r="O17" s="69"/>
      <c r="P17" s="70"/>
      <c r="Q17" s="70"/>
    </row>
    <row r="18" spans="1:17" ht="46.5" customHeight="1" x14ac:dyDescent="0.45">
      <c r="A18" s="31" t="s">
        <v>40</v>
      </c>
      <c r="B18" s="80">
        <f>agric!D9</f>
        <v>1</v>
      </c>
      <c r="C18" s="77"/>
      <c r="D18" s="77">
        <f>indus1!D11</f>
        <v>10</v>
      </c>
      <c r="E18" s="77"/>
      <c r="F18" s="77"/>
      <c r="G18" s="77"/>
      <c r="H18" s="77"/>
      <c r="I18" s="82"/>
      <c r="J18" s="69"/>
      <c r="K18" s="69"/>
      <c r="L18" s="69"/>
      <c r="M18" s="69"/>
      <c r="N18" s="69"/>
      <c r="O18" s="69"/>
      <c r="P18" s="70"/>
      <c r="Q18" s="70"/>
    </row>
    <row r="19" spans="1:17" ht="46.5" customHeight="1" x14ac:dyDescent="0.45">
      <c r="A19" s="35" t="s">
        <v>41</v>
      </c>
      <c r="B19" s="83"/>
      <c r="C19" s="84"/>
      <c r="D19" s="84"/>
      <c r="E19" s="84"/>
      <c r="F19" s="84"/>
      <c r="G19" s="84"/>
      <c r="H19" s="84"/>
      <c r="I19" s="86"/>
      <c r="J19" s="69"/>
      <c r="K19" s="69"/>
      <c r="L19" s="101" t="s">
        <v>49</v>
      </c>
      <c r="M19" s="102"/>
      <c r="N19" s="69"/>
      <c r="O19" s="69"/>
      <c r="P19" s="70"/>
      <c r="Q19" s="70"/>
    </row>
    <row r="20" spans="1:17" ht="46.5" customHeight="1" x14ac:dyDescent="0.45">
      <c r="A20" s="58" t="s">
        <v>42</v>
      </c>
      <c r="B20" s="103">
        <f>agric!D10</f>
        <v>43</v>
      </c>
      <c r="C20" s="104">
        <f>energ!D8</f>
        <v>29</v>
      </c>
      <c r="D20" s="104">
        <f>indus1!D12</f>
        <v>293</v>
      </c>
      <c r="E20" s="105"/>
      <c r="F20" s="104"/>
      <c r="G20" s="104"/>
      <c r="H20" s="104"/>
      <c r="I20" s="106"/>
      <c r="J20" s="69"/>
      <c r="K20" s="69"/>
      <c r="L20" s="69"/>
      <c r="M20" s="69"/>
      <c r="N20" s="69"/>
      <c r="O20" s="69"/>
      <c r="P20" s="70"/>
      <c r="Q20" s="70"/>
    </row>
    <row r="21" spans="1:17" ht="46.5" customHeight="1" x14ac:dyDescent="0.45">
      <c r="A21" s="31" t="s">
        <v>43</v>
      </c>
      <c r="B21" s="80">
        <f>agric!D11</f>
        <v>77</v>
      </c>
      <c r="C21" s="77">
        <f>energ!D9</f>
        <v>42</v>
      </c>
      <c r="D21" s="77">
        <f>indus1!D13</f>
        <v>490</v>
      </c>
      <c r="E21" s="105"/>
      <c r="F21" s="77"/>
      <c r="G21" s="77"/>
      <c r="H21" s="77"/>
      <c r="I21" s="82"/>
      <c r="J21" s="69"/>
      <c r="K21" s="69"/>
      <c r="L21" s="69"/>
      <c r="M21" s="69"/>
      <c r="N21" s="69"/>
      <c r="O21" s="69"/>
      <c r="P21" s="70"/>
      <c r="Q21" s="70"/>
    </row>
    <row r="22" spans="1:17" ht="46.5" customHeight="1" x14ac:dyDescent="0.45">
      <c r="A22" s="31" t="s">
        <v>44</v>
      </c>
      <c r="B22" s="80"/>
      <c r="C22" s="77"/>
      <c r="D22" s="77">
        <f>indus1!D14</f>
        <v>36</v>
      </c>
      <c r="E22" s="105"/>
      <c r="F22" s="77"/>
      <c r="G22" s="77"/>
      <c r="H22" s="77"/>
      <c r="I22" s="82"/>
      <c r="J22" s="69"/>
      <c r="K22" s="69"/>
      <c r="L22" s="69"/>
      <c r="M22" s="69"/>
      <c r="N22" s="69"/>
      <c r="O22" s="69"/>
      <c r="P22" s="70"/>
      <c r="Q22" s="70"/>
    </row>
    <row r="23" spans="1:17" ht="46.5" customHeight="1" x14ac:dyDescent="0.45">
      <c r="A23" s="31" t="s">
        <v>45</v>
      </c>
      <c r="B23" s="80">
        <f>agric!D12</f>
        <v>12</v>
      </c>
      <c r="C23" s="77"/>
      <c r="D23" s="77">
        <f>indus1!D15</f>
        <v>30</v>
      </c>
      <c r="E23" s="100"/>
      <c r="F23" s="77"/>
      <c r="G23" s="77"/>
      <c r="H23" s="77"/>
      <c r="I23" s="82"/>
      <c r="J23" s="69"/>
      <c r="K23" s="69"/>
      <c r="L23" s="69"/>
      <c r="M23" s="69"/>
      <c r="N23" s="69"/>
      <c r="O23" s="69"/>
      <c r="P23" s="70"/>
      <c r="Q23" s="70"/>
    </row>
    <row r="24" spans="1:17" ht="46.5" customHeight="1" x14ac:dyDescent="0.45">
      <c r="A24" s="63" t="s">
        <v>46</v>
      </c>
      <c r="B24" s="83">
        <f>agric!D13</f>
        <v>-28</v>
      </c>
      <c r="C24" s="84">
        <f>energ!D10</f>
        <v>43</v>
      </c>
      <c r="D24" s="84"/>
      <c r="E24" s="84"/>
      <c r="F24" s="84"/>
      <c r="G24" s="84"/>
      <c r="H24" s="84"/>
      <c r="I24" s="86"/>
      <c r="J24" s="69"/>
      <c r="K24" s="69"/>
      <c r="L24" s="69"/>
      <c r="M24" s="69"/>
      <c r="N24" s="69"/>
      <c r="O24" s="69"/>
      <c r="P24" s="70"/>
      <c r="Q24" s="70"/>
    </row>
    <row r="25" spans="1:17" ht="46.5" customHeight="1" x14ac:dyDescent="0.5">
      <c r="A25" s="64" t="s">
        <v>47</v>
      </c>
      <c r="B25" s="107">
        <f>SUM(B16:B24)</f>
        <v>602</v>
      </c>
      <c r="C25" s="108">
        <f>SUM(C16:C24)</f>
        <v>588</v>
      </c>
      <c r="D25" s="108">
        <f>SUM(D16:D24)</f>
        <v>5138</v>
      </c>
      <c r="E25" s="108">
        <f>SUM(E16:E24)</f>
        <v>713</v>
      </c>
      <c r="F25" s="108"/>
      <c r="G25" s="108">
        <f>SUM(G16:G24)</f>
        <v>3273</v>
      </c>
      <c r="H25" s="108">
        <f>SUM(H16:H24)</f>
        <v>1181</v>
      </c>
      <c r="I25" s="109">
        <f>SUM(B25:H25)</f>
        <v>11495</v>
      </c>
      <c r="J25" s="69"/>
      <c r="K25" s="69"/>
      <c r="L25" s="69"/>
      <c r="M25" s="69"/>
      <c r="N25" s="69"/>
      <c r="O25" s="69"/>
      <c r="P25" s="70"/>
      <c r="Q25" s="70"/>
    </row>
  </sheetData>
  <sheetProtection selectLockedCells="1" selectUnlockedCells="1"/>
  <mergeCells count="1">
    <mergeCell ref="A1:P1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2002&amp;C&amp;16      Exercice TES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0" zoomScaleNormal="50" workbookViewId="0">
      <selection sqref="A1:Q25"/>
    </sheetView>
  </sheetViews>
  <sheetFormatPr baseColWidth="10" defaultColWidth="11.44140625" defaultRowHeight="47.1" customHeight="1" x14ac:dyDescent="0.3"/>
  <cols>
    <col min="1" max="1" width="23.6640625" style="2" customWidth="1"/>
    <col min="2" max="17" width="15.6640625" style="2" customWidth="1"/>
    <col min="18" max="16384" width="11.44140625" style="2"/>
  </cols>
  <sheetData>
    <row r="1" spans="1:17" ht="47.1" customHeight="1" x14ac:dyDescent="0.7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8"/>
    </row>
    <row r="2" spans="1:17" ht="47.1" customHeight="1" x14ac:dyDescent="0.5">
      <c r="A2" s="5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70"/>
    </row>
    <row r="3" spans="1:17" s="71" customFormat="1" ht="47.1" customHeight="1" x14ac:dyDescent="0.5">
      <c r="A3" s="7" t="s">
        <v>2</v>
      </c>
      <c r="B3" s="8" t="s">
        <v>3</v>
      </c>
      <c r="C3" s="9" t="s">
        <v>52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8</v>
      </c>
      <c r="I3" s="11" t="s">
        <v>9</v>
      </c>
      <c r="J3" s="11" t="s">
        <v>48</v>
      </c>
      <c r="K3" s="13" t="s">
        <v>11</v>
      </c>
      <c r="L3" s="14"/>
      <c r="M3" s="10" t="s">
        <v>12</v>
      </c>
      <c r="N3" s="14" t="s">
        <v>13</v>
      </c>
      <c r="O3" s="14"/>
      <c r="P3" s="10" t="s">
        <v>14</v>
      </c>
      <c r="Q3" s="11" t="s">
        <v>9</v>
      </c>
    </row>
    <row r="4" spans="1:17" s="71" customFormat="1" ht="47.1" customHeight="1" x14ac:dyDescent="0.5">
      <c r="A4" s="15" t="s">
        <v>15</v>
      </c>
      <c r="B4" s="16" t="s">
        <v>16</v>
      </c>
      <c r="C4" s="17"/>
      <c r="D4" s="17"/>
      <c r="E4" s="72"/>
      <c r="F4" s="17" t="s">
        <v>17</v>
      </c>
      <c r="G4" s="17" t="s">
        <v>18</v>
      </c>
      <c r="H4" s="18" t="s">
        <v>19</v>
      </c>
      <c r="I4" s="19" t="s">
        <v>48</v>
      </c>
      <c r="J4" s="19" t="s">
        <v>21</v>
      </c>
      <c r="K4" s="17" t="s">
        <v>22</v>
      </c>
      <c r="L4" s="17" t="s">
        <v>23</v>
      </c>
      <c r="M4" s="18" t="s">
        <v>24</v>
      </c>
      <c r="N4" s="17" t="s">
        <v>25</v>
      </c>
      <c r="O4" s="17" t="s">
        <v>26</v>
      </c>
      <c r="P4" s="18"/>
      <c r="Q4" s="21" t="s">
        <v>27</v>
      </c>
    </row>
    <row r="5" spans="1:17" ht="47.1" customHeight="1" x14ac:dyDescent="0.45">
      <c r="A5" s="22" t="s">
        <v>53</v>
      </c>
      <c r="B5" s="73"/>
      <c r="C5" s="74"/>
      <c r="D5" s="74"/>
      <c r="E5" s="74"/>
      <c r="F5" s="74"/>
      <c r="G5" s="74"/>
      <c r="H5" s="75"/>
      <c r="I5" s="76"/>
      <c r="J5" s="76">
        <f>agric!D15</f>
        <v>349</v>
      </c>
      <c r="K5" s="77">
        <f>agric!D16</f>
        <v>156</v>
      </c>
      <c r="L5" s="77"/>
      <c r="M5" s="77">
        <f>agric!D17</f>
        <v>4</v>
      </c>
      <c r="N5" s="77">
        <f>agric!D18</f>
        <v>8</v>
      </c>
      <c r="O5" s="77">
        <f>agric!D19</f>
        <v>4</v>
      </c>
      <c r="P5" s="78">
        <f>agric!D20</f>
        <v>81</v>
      </c>
      <c r="Q5" s="79">
        <f>SUM(J5:P5)</f>
        <v>602</v>
      </c>
    </row>
    <row r="6" spans="1:17" ht="47.1" customHeight="1" x14ac:dyDescent="0.45">
      <c r="A6" s="31" t="s">
        <v>52</v>
      </c>
      <c r="B6" s="80"/>
      <c r="C6" s="77"/>
      <c r="D6" s="77"/>
      <c r="E6" s="77"/>
      <c r="F6" s="77"/>
      <c r="G6" s="77"/>
      <c r="H6" s="81"/>
      <c r="I6" s="82"/>
      <c r="J6" s="82">
        <f>energ!D12</f>
        <v>328</v>
      </c>
      <c r="K6" s="77">
        <f>energ!D13</f>
        <v>237</v>
      </c>
      <c r="L6" s="77"/>
      <c r="M6" s="77"/>
      <c r="N6" s="77"/>
      <c r="O6" s="77"/>
      <c r="P6" s="78">
        <f>energ!D14</f>
        <v>23</v>
      </c>
      <c r="Q6" s="79">
        <f>SUM(J6:P6)</f>
        <v>588</v>
      </c>
    </row>
    <row r="7" spans="1:17" ht="47.1" customHeight="1" x14ac:dyDescent="0.45">
      <c r="A7" s="31" t="s">
        <v>29</v>
      </c>
      <c r="B7" s="80"/>
      <c r="C7" s="77"/>
      <c r="D7" s="77"/>
      <c r="E7" s="77"/>
      <c r="F7" s="77"/>
      <c r="G7" s="77"/>
      <c r="H7" s="81"/>
      <c r="I7" s="82"/>
      <c r="J7" s="82">
        <f>indus1!D17+indus1!D18</f>
        <v>2265</v>
      </c>
      <c r="K7" s="77">
        <f>indus1!D19</f>
        <v>1392</v>
      </c>
      <c r="L7" s="77">
        <f>indus1!D20</f>
        <v>48</v>
      </c>
      <c r="M7" s="77">
        <f>indus1!D21</f>
        <v>460</v>
      </c>
      <c r="N7" s="77">
        <f>indus1!D22</f>
        <v>-2</v>
      </c>
      <c r="O7" s="77">
        <f>indus1!D23</f>
        <v>0</v>
      </c>
      <c r="P7" s="78">
        <f>indus1!D24</f>
        <v>975</v>
      </c>
      <c r="Q7" s="79">
        <f>SUM(J7:P7)</f>
        <v>5138</v>
      </c>
    </row>
    <row r="8" spans="1:17" ht="47.1" customHeight="1" x14ac:dyDescent="0.45">
      <c r="A8" s="31" t="s">
        <v>30</v>
      </c>
      <c r="B8" s="80"/>
      <c r="C8" s="77"/>
      <c r="D8" s="77"/>
      <c r="E8" s="77"/>
      <c r="F8" s="77"/>
      <c r="G8" s="77"/>
      <c r="H8" s="81"/>
      <c r="I8" s="82"/>
      <c r="J8" s="82">
        <f>'btp2'!D8+'btp2'!D9</f>
        <v>114</v>
      </c>
      <c r="K8" s="77">
        <f>'btp2'!D10</f>
        <v>28</v>
      </c>
      <c r="L8" s="77"/>
      <c r="M8" s="77">
        <f>'btp2'!D11</f>
        <v>570</v>
      </c>
      <c r="N8" s="77"/>
      <c r="O8" s="77">
        <f>'btp2'!D12</f>
        <v>1</v>
      </c>
      <c r="P8" s="78"/>
      <c r="Q8" s="79">
        <f>SUM(J8:P8)</f>
        <v>713</v>
      </c>
    </row>
    <row r="9" spans="1:17" ht="47.1" customHeight="1" x14ac:dyDescent="0.45">
      <c r="A9" s="35" t="s">
        <v>31</v>
      </c>
      <c r="B9" s="83"/>
      <c r="C9" s="84"/>
      <c r="D9" s="84"/>
      <c r="E9" s="84"/>
      <c r="F9" s="84"/>
      <c r="G9" s="84"/>
      <c r="H9" s="85"/>
      <c r="I9" s="86"/>
      <c r="J9" s="86">
        <f>Serv.Mrchd1!D11</f>
        <v>-1655</v>
      </c>
      <c r="K9" s="84">
        <f>Serv.Mrchd1!D12</f>
        <v>1286</v>
      </c>
      <c r="L9" s="84"/>
      <c r="M9" s="84">
        <f>Serv.Mrchd1!D13</f>
        <v>91</v>
      </c>
      <c r="N9" s="84"/>
      <c r="O9" s="84"/>
      <c r="P9" s="87">
        <f>Serv.Mrchd1!D14</f>
        <v>278</v>
      </c>
      <c r="Q9" s="79">
        <f>SUM(J9:P9)</f>
        <v>0</v>
      </c>
    </row>
    <row r="10" spans="1:17" ht="47.1" customHeight="1" x14ac:dyDescent="0.45">
      <c r="A10" s="31" t="s">
        <v>32</v>
      </c>
      <c r="B10" s="80"/>
      <c r="C10" s="77"/>
      <c r="D10" s="77"/>
      <c r="E10" s="77"/>
      <c r="F10" s="77"/>
      <c r="G10" s="77"/>
      <c r="H10" s="81"/>
      <c r="I10" s="82"/>
      <c r="J10" s="82">
        <v>0</v>
      </c>
      <c r="K10" s="77">
        <f>servNM!D10</f>
        <v>89</v>
      </c>
      <c r="L10" s="77">
        <f>servNM!D11</f>
        <v>1092</v>
      </c>
      <c r="M10" s="77"/>
      <c r="N10" s="77"/>
      <c r="O10" s="77"/>
      <c r="P10" s="78"/>
      <c r="Q10" s="79">
        <f>SUM(K10:P10)</f>
        <v>1181</v>
      </c>
    </row>
    <row r="11" spans="1:17" ht="47.1" customHeight="1" x14ac:dyDescent="0.45">
      <c r="A11" s="43" t="s">
        <v>33</v>
      </c>
      <c r="B11" s="88"/>
      <c r="C11" s="89"/>
      <c r="D11" s="89"/>
      <c r="E11" s="89"/>
      <c r="F11" s="89"/>
      <c r="G11" s="89"/>
      <c r="H11" s="90"/>
      <c r="I11" s="91"/>
      <c r="J11" s="92">
        <f t="shared" ref="J11:Q11" si="0">SUM(J5:J10)</f>
        <v>1401</v>
      </c>
      <c r="K11" s="93">
        <f t="shared" si="0"/>
        <v>3188</v>
      </c>
      <c r="L11" s="89">
        <f t="shared" si="0"/>
        <v>1140</v>
      </c>
      <c r="M11" s="89">
        <f t="shared" si="0"/>
        <v>1125</v>
      </c>
      <c r="N11" s="89">
        <f t="shared" si="0"/>
        <v>6</v>
      </c>
      <c r="O11" s="89">
        <f t="shared" si="0"/>
        <v>5</v>
      </c>
      <c r="P11" s="94">
        <f t="shared" si="0"/>
        <v>1357</v>
      </c>
      <c r="Q11" s="95">
        <f t="shared" si="0"/>
        <v>8222</v>
      </c>
    </row>
    <row r="12" spans="1:17" ht="47.1" customHeight="1" x14ac:dyDescent="0.5">
      <c r="A12" s="15" t="s">
        <v>34</v>
      </c>
      <c r="B12" s="96"/>
      <c r="C12" s="97"/>
      <c r="D12" s="97"/>
      <c r="E12" s="97"/>
      <c r="F12" s="97"/>
      <c r="G12" s="97"/>
      <c r="H12" s="98"/>
      <c r="I12" s="99"/>
      <c r="J12" s="69"/>
      <c r="K12" s="69"/>
      <c r="L12" s="69"/>
      <c r="M12" s="69"/>
      <c r="N12" s="69"/>
      <c r="O12" s="69"/>
      <c r="P12" s="70"/>
      <c r="Q12" s="100"/>
    </row>
    <row r="13" spans="1:17" ht="47.1" customHeight="1" x14ac:dyDescent="0.5">
      <c r="A13" s="52" t="s">
        <v>35</v>
      </c>
      <c r="B13" s="73">
        <f>agric!D5</f>
        <v>493</v>
      </c>
      <c r="C13" s="74">
        <f>energ!D6</f>
        <v>382</v>
      </c>
      <c r="D13" s="74">
        <f>indus1!D6</f>
        <v>3213</v>
      </c>
      <c r="E13" s="74">
        <f>'btp2'!D5</f>
        <v>713</v>
      </c>
      <c r="F13" s="74">
        <f>F16</f>
        <v>1052</v>
      </c>
      <c r="G13" s="74">
        <f>Serv.Mrchd1!D6</f>
        <v>3008</v>
      </c>
      <c r="H13" s="75">
        <f>servNM!D5</f>
        <v>1286</v>
      </c>
      <c r="I13" s="76">
        <f t="shared" ref="I13:I18" si="1">SUM(B13:H13)</f>
        <v>10147</v>
      </c>
      <c r="J13" s="69"/>
      <c r="K13" s="69"/>
      <c r="L13" s="69"/>
      <c r="M13" s="69"/>
      <c r="N13" s="69"/>
      <c r="O13" s="69"/>
      <c r="P13" s="70"/>
      <c r="Q13" s="70"/>
    </row>
    <row r="14" spans="1:17" ht="47.1" customHeight="1" x14ac:dyDescent="0.45">
      <c r="A14" s="31" t="s">
        <v>36</v>
      </c>
      <c r="B14" s="80">
        <f>agric!D6</f>
        <v>-47</v>
      </c>
      <c r="C14" s="77"/>
      <c r="D14" s="77">
        <f>indus1!D7</f>
        <v>47</v>
      </c>
      <c r="E14" s="77"/>
      <c r="F14" s="77"/>
      <c r="G14" s="77"/>
      <c r="H14" s="81"/>
      <c r="I14" s="82">
        <f t="shared" si="1"/>
        <v>0</v>
      </c>
      <c r="J14" s="69"/>
      <c r="K14" s="69"/>
      <c r="L14" s="69"/>
      <c r="M14" s="69"/>
      <c r="N14" s="69"/>
      <c r="O14" s="69"/>
      <c r="P14" s="70"/>
      <c r="Q14" s="70"/>
    </row>
    <row r="15" spans="1:17" ht="47.1" customHeight="1" x14ac:dyDescent="0.45">
      <c r="A15" s="43" t="s">
        <v>37</v>
      </c>
      <c r="B15" s="88"/>
      <c r="C15" s="89"/>
      <c r="D15" s="89">
        <f>indus1!D8</f>
        <v>12</v>
      </c>
      <c r="E15" s="89"/>
      <c r="F15" s="89"/>
      <c r="G15" s="89">
        <f>Serv.Mrchd1!D7</f>
        <v>93</v>
      </c>
      <c r="H15" s="90">
        <f>servNM!D6</f>
        <v>-105</v>
      </c>
      <c r="I15" s="91">
        <f t="shared" si="1"/>
        <v>0</v>
      </c>
      <c r="J15" s="69"/>
      <c r="K15" s="69"/>
      <c r="L15" s="69"/>
      <c r="M15" s="69"/>
      <c r="N15" s="69"/>
      <c r="O15" s="69"/>
      <c r="P15" s="70"/>
      <c r="Q15" s="70"/>
    </row>
    <row r="16" spans="1:17" ht="47.1" customHeight="1" x14ac:dyDescent="0.5">
      <c r="A16" s="53" t="s">
        <v>38</v>
      </c>
      <c r="B16" s="80">
        <f>SUM(B13:B15)</f>
        <v>446</v>
      </c>
      <c r="C16" s="77">
        <f>SUM(C13:C15)</f>
        <v>382</v>
      </c>
      <c r="D16" s="77">
        <f>SUM(D13:D15)</f>
        <v>3272</v>
      </c>
      <c r="E16" s="77">
        <f>SUM(E13:E15)</f>
        <v>713</v>
      </c>
      <c r="F16" s="77">
        <f>-SUM(F20:F23)</f>
        <v>1052</v>
      </c>
      <c r="G16" s="77">
        <f>SUM(G13:G15)</f>
        <v>3101</v>
      </c>
      <c r="H16" s="81">
        <f>SUM(H13:H15)</f>
        <v>1181</v>
      </c>
      <c r="I16" s="82">
        <f t="shared" si="1"/>
        <v>10147</v>
      </c>
      <c r="J16" s="69"/>
      <c r="K16" s="69"/>
      <c r="L16" s="69"/>
      <c r="M16" s="69"/>
      <c r="N16" s="69"/>
      <c r="O16" s="69"/>
      <c r="P16" s="70"/>
      <c r="Q16" s="70"/>
    </row>
    <row r="17" spans="1:17" ht="47.1" customHeight="1" x14ac:dyDescent="0.45">
      <c r="A17" s="31" t="s">
        <v>39</v>
      </c>
      <c r="B17" s="80">
        <f>agric!D8</f>
        <v>51</v>
      </c>
      <c r="C17" s="77">
        <f>energ!D7</f>
        <v>92</v>
      </c>
      <c r="D17" s="77">
        <f>indus1!D10</f>
        <v>1007</v>
      </c>
      <c r="E17" s="77"/>
      <c r="F17" s="77"/>
      <c r="G17" s="77">
        <f>Serv.Mrchd1!D9</f>
        <v>172</v>
      </c>
      <c r="H17" s="77"/>
      <c r="I17" s="82">
        <f t="shared" si="1"/>
        <v>1322</v>
      </c>
      <c r="J17" s="69"/>
      <c r="K17" s="69"/>
      <c r="L17" s="69"/>
      <c r="M17" s="69"/>
      <c r="N17" s="69"/>
      <c r="O17" s="69"/>
      <c r="P17" s="70"/>
      <c r="Q17" s="70"/>
    </row>
    <row r="18" spans="1:17" ht="47.1" customHeight="1" x14ac:dyDescent="0.45">
      <c r="A18" s="31" t="s">
        <v>40</v>
      </c>
      <c r="B18" s="80">
        <f>agric!D9</f>
        <v>1</v>
      </c>
      <c r="C18" s="77"/>
      <c r="D18" s="77">
        <f>indus1!D11</f>
        <v>10</v>
      </c>
      <c r="E18" s="77"/>
      <c r="F18" s="77"/>
      <c r="G18" s="77"/>
      <c r="H18" s="77"/>
      <c r="I18" s="82">
        <f t="shared" si="1"/>
        <v>11</v>
      </c>
      <c r="J18" s="69"/>
      <c r="K18" s="69"/>
      <c r="L18" s="69"/>
      <c r="M18" s="69"/>
      <c r="N18" s="69"/>
      <c r="O18" s="69"/>
      <c r="P18" s="70"/>
      <c r="Q18" s="70"/>
    </row>
    <row r="19" spans="1:17" ht="47.1" customHeight="1" x14ac:dyDescent="0.45">
      <c r="A19" s="35" t="s">
        <v>41</v>
      </c>
      <c r="B19" s="83"/>
      <c r="C19" s="84"/>
      <c r="D19" s="84"/>
      <c r="E19" s="84"/>
      <c r="F19" s="84"/>
      <c r="G19" s="84"/>
      <c r="H19" s="84"/>
      <c r="I19" s="86"/>
      <c r="J19" s="69"/>
      <c r="K19" s="69"/>
      <c r="L19" s="101" t="s">
        <v>49</v>
      </c>
      <c r="M19" s="102"/>
      <c r="N19" s="69"/>
      <c r="O19" s="69"/>
      <c r="P19" s="70"/>
      <c r="Q19" s="70"/>
    </row>
    <row r="20" spans="1:17" ht="47.1" customHeight="1" x14ac:dyDescent="0.45">
      <c r="A20" s="58" t="s">
        <v>42</v>
      </c>
      <c r="B20" s="103">
        <f>agric!D10</f>
        <v>43</v>
      </c>
      <c r="C20" s="104">
        <f>energ!D8</f>
        <v>29</v>
      </c>
      <c r="D20" s="104">
        <f>indus1!D12</f>
        <v>293</v>
      </c>
      <c r="E20" s="105"/>
      <c r="F20" s="104">
        <f>-SUM(B20:D20)</f>
        <v>-365</v>
      </c>
      <c r="G20" s="104"/>
      <c r="H20" s="104"/>
      <c r="I20" s="106">
        <f>SUM(B20:H20)</f>
        <v>0</v>
      </c>
      <c r="J20" s="69"/>
      <c r="K20" s="69"/>
      <c r="L20" s="69"/>
      <c r="M20" s="69"/>
      <c r="N20" s="69"/>
      <c r="O20" s="69"/>
      <c r="P20" s="70"/>
      <c r="Q20" s="70"/>
    </row>
    <row r="21" spans="1:17" ht="47.1" customHeight="1" x14ac:dyDescent="0.45">
      <c r="A21" s="31" t="s">
        <v>54</v>
      </c>
      <c r="B21" s="80">
        <f>agric!D11</f>
        <v>77</v>
      </c>
      <c r="C21" s="77">
        <f>energ!D9</f>
        <v>42</v>
      </c>
      <c r="D21" s="77">
        <f>indus1!D13</f>
        <v>490</v>
      </c>
      <c r="E21" s="105"/>
      <c r="F21" s="77">
        <f>-SUM(B21:D21)</f>
        <v>-609</v>
      </c>
      <c r="G21" s="77"/>
      <c r="H21" s="77"/>
      <c r="I21" s="82">
        <f>SUM(B21:H21)</f>
        <v>0</v>
      </c>
      <c r="J21" s="69"/>
      <c r="K21" s="69"/>
      <c r="L21" s="69"/>
      <c r="M21" s="69"/>
      <c r="N21" s="69"/>
      <c r="O21" s="69"/>
      <c r="P21" s="70"/>
      <c r="Q21" s="70"/>
    </row>
    <row r="22" spans="1:17" ht="47.1" customHeight="1" x14ac:dyDescent="0.45">
      <c r="A22" s="31" t="s">
        <v>44</v>
      </c>
      <c r="B22" s="80"/>
      <c r="C22" s="77"/>
      <c r="D22" s="77">
        <f>indus1!D14</f>
        <v>36</v>
      </c>
      <c r="E22" s="105"/>
      <c r="F22" s="77">
        <f>-SUM(B22:D22)</f>
        <v>-36</v>
      </c>
      <c r="G22" s="77"/>
      <c r="H22" s="77"/>
      <c r="I22" s="82">
        <f>SUM(B22:H22)</f>
        <v>0</v>
      </c>
      <c r="J22" s="69"/>
      <c r="K22" s="69"/>
      <c r="L22" s="69"/>
      <c r="M22" s="69"/>
      <c r="N22" s="69"/>
      <c r="O22" s="69"/>
      <c r="P22" s="70"/>
      <c r="Q22" s="70"/>
    </row>
    <row r="23" spans="1:17" ht="47.1" customHeight="1" x14ac:dyDescent="0.45">
      <c r="A23" s="31" t="s">
        <v>45</v>
      </c>
      <c r="B23" s="80">
        <f>agric!D12</f>
        <v>12</v>
      </c>
      <c r="C23" s="77"/>
      <c r="D23" s="77">
        <f>indus1!D15</f>
        <v>30</v>
      </c>
      <c r="E23" s="100"/>
      <c r="F23" s="77">
        <f>-SUM(B23:D23)</f>
        <v>-42</v>
      </c>
      <c r="G23" s="77"/>
      <c r="H23" s="77"/>
      <c r="I23" s="82">
        <f>SUM(B23:H23)</f>
        <v>0</v>
      </c>
      <c r="J23" s="69"/>
      <c r="K23" s="69"/>
      <c r="L23" s="69"/>
      <c r="M23" s="69"/>
      <c r="N23" s="69"/>
      <c r="O23" s="69"/>
      <c r="P23" s="70"/>
      <c r="Q23" s="70"/>
    </row>
    <row r="24" spans="1:17" ht="47.1" customHeight="1" x14ac:dyDescent="0.45">
      <c r="A24" s="63" t="s">
        <v>46</v>
      </c>
      <c r="B24" s="83">
        <f>agric!D13</f>
        <v>-28</v>
      </c>
      <c r="C24" s="84">
        <f>energ!D10</f>
        <v>43</v>
      </c>
      <c r="D24" s="84"/>
      <c r="E24" s="84"/>
      <c r="F24" s="84"/>
      <c r="G24" s="84"/>
      <c r="H24" s="84"/>
      <c r="I24" s="86">
        <f>SUM(B23:H24)</f>
        <v>15</v>
      </c>
      <c r="J24" s="69"/>
      <c r="K24" s="69"/>
      <c r="L24" s="69"/>
      <c r="M24" s="69"/>
      <c r="N24" s="69"/>
      <c r="O24" s="69"/>
      <c r="P24" s="70"/>
      <c r="Q24" s="70"/>
    </row>
    <row r="25" spans="1:17" ht="47.1" customHeight="1" x14ac:dyDescent="0.5">
      <c r="A25" s="64" t="s">
        <v>47</v>
      </c>
      <c r="B25" s="107">
        <f t="shared" ref="B25:H25" si="2">SUM(B16:B24)</f>
        <v>602</v>
      </c>
      <c r="C25" s="108">
        <f t="shared" si="2"/>
        <v>588</v>
      </c>
      <c r="D25" s="108">
        <f t="shared" si="2"/>
        <v>5138</v>
      </c>
      <c r="E25" s="108">
        <f t="shared" si="2"/>
        <v>713</v>
      </c>
      <c r="F25" s="108">
        <f t="shared" si="2"/>
        <v>0</v>
      </c>
      <c r="G25" s="108">
        <f t="shared" si="2"/>
        <v>3273</v>
      </c>
      <c r="H25" s="108">
        <f t="shared" si="2"/>
        <v>1181</v>
      </c>
      <c r="I25" s="109">
        <f>SUM(B25:H25)</f>
        <v>11495</v>
      </c>
      <c r="J25" s="69"/>
      <c r="K25" s="69"/>
      <c r="L25" s="69"/>
      <c r="M25" s="69"/>
      <c r="N25" s="69"/>
      <c r="O25" s="69"/>
      <c r="P25" s="70"/>
      <c r="Q25" s="70"/>
    </row>
  </sheetData>
  <sheetProtection selectLockedCells="1" selectUnlockedCells="1"/>
  <mergeCells count="1">
    <mergeCell ref="A1:P1"/>
  </mergeCells>
  <phoneticPr fontId="0" type="noConversion"/>
  <printOptions horizontalCentered="1"/>
  <pageMargins left="0.3937499999999999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50" zoomScaleNormal="50" workbookViewId="0">
      <selection activeCell="L23" sqref="L23"/>
    </sheetView>
  </sheetViews>
  <sheetFormatPr baseColWidth="10" defaultColWidth="11.44140625" defaultRowHeight="47.1" customHeight="1" x14ac:dyDescent="0.3"/>
  <cols>
    <col min="1" max="1" width="23.6640625" style="2" customWidth="1"/>
    <col min="2" max="17" width="15.6640625" style="2" customWidth="1"/>
    <col min="18" max="16384" width="11.44140625" style="2"/>
  </cols>
  <sheetData>
    <row r="1" spans="1:17" ht="47.1" customHeight="1" x14ac:dyDescent="0.7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8"/>
    </row>
    <row r="2" spans="1:17" ht="47.1" customHeight="1" thickBot="1" x14ac:dyDescent="0.55000000000000004">
      <c r="A2" s="5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70"/>
    </row>
    <row r="3" spans="1:17" s="71" customFormat="1" ht="47.1" customHeight="1" thickTop="1" x14ac:dyDescent="0.5">
      <c r="A3" s="7" t="s">
        <v>2</v>
      </c>
      <c r="B3" s="8" t="s">
        <v>3</v>
      </c>
      <c r="C3" s="9" t="s">
        <v>52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8</v>
      </c>
      <c r="I3" s="11" t="s">
        <v>9</v>
      </c>
      <c r="J3" s="11" t="s">
        <v>48</v>
      </c>
      <c r="K3" s="13" t="s">
        <v>11</v>
      </c>
      <c r="L3" s="14"/>
      <c r="M3" s="10" t="s">
        <v>12</v>
      </c>
      <c r="N3" s="14" t="s">
        <v>13</v>
      </c>
      <c r="O3" s="14"/>
      <c r="P3" s="10" t="s">
        <v>14</v>
      </c>
      <c r="Q3" s="11" t="s">
        <v>9</v>
      </c>
    </row>
    <row r="4" spans="1:17" s="71" customFormat="1" ht="47.1" customHeight="1" thickBot="1" x14ac:dyDescent="0.55000000000000004">
      <c r="A4" s="15" t="s">
        <v>15</v>
      </c>
      <c r="B4" s="16" t="s">
        <v>16</v>
      </c>
      <c r="C4" s="17"/>
      <c r="D4" s="17"/>
      <c r="E4" s="72"/>
      <c r="F4" s="17" t="s">
        <v>17</v>
      </c>
      <c r="G4" s="17" t="s">
        <v>18</v>
      </c>
      <c r="H4" s="18" t="s">
        <v>19</v>
      </c>
      <c r="I4" s="19" t="s">
        <v>48</v>
      </c>
      <c r="J4" s="19" t="s">
        <v>21</v>
      </c>
      <c r="K4" s="17" t="s">
        <v>22</v>
      </c>
      <c r="L4" s="17" t="s">
        <v>23</v>
      </c>
      <c r="M4" s="18" t="s">
        <v>24</v>
      </c>
      <c r="N4" s="17" t="s">
        <v>25</v>
      </c>
      <c r="O4" s="17" t="s">
        <v>26</v>
      </c>
      <c r="P4" s="18"/>
      <c r="Q4" s="21" t="s">
        <v>27</v>
      </c>
    </row>
    <row r="5" spans="1:17" ht="47.1" customHeight="1" thickTop="1" x14ac:dyDescent="0.45">
      <c r="A5" s="22" t="s">
        <v>53</v>
      </c>
      <c r="B5" s="73">
        <v>89</v>
      </c>
      <c r="C5" s="74"/>
      <c r="D5" s="74">
        <v>234</v>
      </c>
      <c r="E5" s="74"/>
      <c r="F5" s="74"/>
      <c r="G5" s="74">
        <v>18</v>
      </c>
      <c r="H5" s="75">
        <v>8</v>
      </c>
      <c r="I5" s="76">
        <f>SUM(B5:H5)</f>
        <v>349</v>
      </c>
      <c r="J5" s="76">
        <f>agric!D15</f>
        <v>349</v>
      </c>
      <c r="K5" s="77">
        <f>agric!D16</f>
        <v>156</v>
      </c>
      <c r="L5" s="77"/>
      <c r="M5" s="77">
        <f>agric!D17</f>
        <v>4</v>
      </c>
      <c r="N5" s="77">
        <f>agric!D18</f>
        <v>8</v>
      </c>
      <c r="O5" s="77">
        <f>agric!D19</f>
        <v>4</v>
      </c>
      <c r="P5" s="78">
        <f>agric!D20</f>
        <v>81</v>
      </c>
      <c r="Q5" s="79">
        <f>SUM(J5:P5)</f>
        <v>602</v>
      </c>
    </row>
    <row r="6" spans="1:17" ht="47.1" customHeight="1" x14ac:dyDescent="0.45">
      <c r="A6" s="31" t="s">
        <v>52</v>
      </c>
      <c r="B6" s="80">
        <v>15</v>
      </c>
      <c r="C6" s="77">
        <v>93</v>
      </c>
      <c r="D6" s="77">
        <v>97</v>
      </c>
      <c r="E6" s="77">
        <v>10</v>
      </c>
      <c r="F6" s="77">
        <v>44</v>
      </c>
      <c r="G6" s="77">
        <v>40</v>
      </c>
      <c r="H6" s="81">
        <v>29</v>
      </c>
      <c r="I6" s="82">
        <f>SUM(B6:H6)</f>
        <v>328</v>
      </c>
      <c r="J6" s="82">
        <f>energ!D12</f>
        <v>328</v>
      </c>
      <c r="K6" s="77">
        <f>energ!D13</f>
        <v>237</v>
      </c>
      <c r="L6" s="77"/>
      <c r="M6" s="77"/>
      <c r="N6" s="77"/>
      <c r="O6" s="77"/>
      <c r="P6" s="78">
        <f>energ!D14</f>
        <v>23</v>
      </c>
      <c r="Q6" s="79">
        <f>SUM(J6:P6)</f>
        <v>588</v>
      </c>
    </row>
    <row r="7" spans="1:17" ht="47.1" customHeight="1" x14ac:dyDescent="0.45">
      <c r="A7" s="31" t="s">
        <v>29</v>
      </c>
      <c r="B7" s="80">
        <v>110</v>
      </c>
      <c r="C7" s="77"/>
      <c r="D7" s="77"/>
      <c r="E7" s="77"/>
      <c r="F7" s="77"/>
      <c r="G7" s="77"/>
      <c r="H7" s="81">
        <v>169</v>
      </c>
      <c r="I7" s="82"/>
      <c r="J7" s="82">
        <f>indus1!D17+indus1!D18</f>
        <v>2265</v>
      </c>
      <c r="K7" s="77">
        <f>indus1!D19</f>
        <v>1392</v>
      </c>
      <c r="L7" s="77">
        <f>indus1!D20</f>
        <v>48</v>
      </c>
      <c r="M7" s="77">
        <f>indus1!D21</f>
        <v>460</v>
      </c>
      <c r="N7" s="77">
        <f>indus1!D22</f>
        <v>-2</v>
      </c>
      <c r="O7" s="77">
        <f>indus1!D23</f>
        <v>0</v>
      </c>
      <c r="P7" s="78">
        <f>indus1!D24</f>
        <v>975</v>
      </c>
      <c r="Q7" s="79">
        <f>SUM(J7:P7)</f>
        <v>5138</v>
      </c>
    </row>
    <row r="8" spans="1:17" ht="47.1" customHeight="1" x14ac:dyDescent="0.45">
      <c r="A8" s="31" t="s">
        <v>30</v>
      </c>
      <c r="B8" s="80">
        <v>1</v>
      </c>
      <c r="C8" s="77"/>
      <c r="D8" s="77"/>
      <c r="E8" s="77"/>
      <c r="F8" s="77"/>
      <c r="G8" s="77"/>
      <c r="H8" s="81">
        <v>43</v>
      </c>
      <c r="I8" s="82"/>
      <c r="J8" s="82">
        <f>'btp2'!D8+'btp2'!D9</f>
        <v>114</v>
      </c>
      <c r="K8" s="77">
        <f>'btp2'!D10</f>
        <v>28</v>
      </c>
      <c r="L8" s="77"/>
      <c r="M8" s="77">
        <f>'btp2'!D11</f>
        <v>570</v>
      </c>
      <c r="N8" s="77"/>
      <c r="O8" s="77">
        <f>'btp2'!D12</f>
        <v>1</v>
      </c>
      <c r="P8" s="78"/>
      <c r="Q8" s="79">
        <f>SUM(J8:P8)</f>
        <v>713</v>
      </c>
    </row>
    <row r="9" spans="1:17" ht="47.1" customHeight="1" x14ac:dyDescent="0.45">
      <c r="A9" s="35" t="s">
        <v>31</v>
      </c>
      <c r="B9" s="83">
        <v>15</v>
      </c>
      <c r="C9" s="84"/>
      <c r="D9" s="84"/>
      <c r="E9" s="84"/>
      <c r="F9" s="84"/>
      <c r="G9" s="84"/>
      <c r="H9" s="85">
        <v>108</v>
      </c>
      <c r="I9" s="86"/>
      <c r="J9" s="86">
        <f>Serv.Mrchd1!D11</f>
        <v>-1655</v>
      </c>
      <c r="K9" s="84">
        <f>Serv.Mrchd1!D12</f>
        <v>1286</v>
      </c>
      <c r="L9" s="84"/>
      <c r="M9" s="84">
        <f>Serv.Mrchd1!D13</f>
        <v>91</v>
      </c>
      <c r="N9" s="84"/>
      <c r="O9" s="84"/>
      <c r="P9" s="87">
        <f>Serv.Mrchd1!D14</f>
        <v>278</v>
      </c>
      <c r="Q9" s="79">
        <f>SUM(J9:P9)</f>
        <v>0</v>
      </c>
    </row>
    <row r="10" spans="1:17" ht="47.1" customHeight="1" x14ac:dyDescent="0.45">
      <c r="A10" s="31" t="s">
        <v>32</v>
      </c>
      <c r="B10" s="80">
        <v>0</v>
      </c>
      <c r="C10" s="77"/>
      <c r="D10" s="77"/>
      <c r="E10" s="77"/>
      <c r="F10" s="77"/>
      <c r="G10" s="77"/>
      <c r="H10" s="81">
        <v>0</v>
      </c>
      <c r="I10" s="82"/>
      <c r="J10" s="82">
        <v>0</v>
      </c>
      <c r="K10" s="77">
        <f>servNM!D10</f>
        <v>89</v>
      </c>
      <c r="L10" s="77">
        <f>servNM!D11</f>
        <v>1092</v>
      </c>
      <c r="M10" s="77"/>
      <c r="N10" s="77"/>
      <c r="O10" s="77"/>
      <c r="P10" s="78"/>
      <c r="Q10" s="79">
        <f>SUM(K10:P10)</f>
        <v>1181</v>
      </c>
    </row>
    <row r="11" spans="1:17" ht="47.1" customHeight="1" thickBot="1" x14ac:dyDescent="0.5">
      <c r="A11" s="43" t="s">
        <v>33</v>
      </c>
      <c r="B11" s="88">
        <f>SUM(B5:B10)</f>
        <v>230</v>
      </c>
      <c r="C11" s="89"/>
      <c r="D11" s="89"/>
      <c r="E11" s="89"/>
      <c r="F11" s="89"/>
      <c r="G11" s="89"/>
      <c r="H11" s="90">
        <f>SUM(H5:H10)</f>
        <v>357</v>
      </c>
      <c r="I11" s="91"/>
      <c r="J11" s="92">
        <f t="shared" ref="J11:Q11" si="0">SUM(J5:J10)</f>
        <v>1401</v>
      </c>
      <c r="K11" s="93">
        <f t="shared" si="0"/>
        <v>3188</v>
      </c>
      <c r="L11" s="89">
        <f t="shared" si="0"/>
        <v>1140</v>
      </c>
      <c r="M11" s="89">
        <f t="shared" si="0"/>
        <v>1125</v>
      </c>
      <c r="N11" s="89">
        <f t="shared" si="0"/>
        <v>6</v>
      </c>
      <c r="O11" s="89">
        <f t="shared" si="0"/>
        <v>5</v>
      </c>
      <c r="P11" s="94">
        <f t="shared" si="0"/>
        <v>1357</v>
      </c>
      <c r="Q11" s="95">
        <f t="shared" si="0"/>
        <v>8222</v>
      </c>
    </row>
    <row r="12" spans="1:17" ht="47.1" customHeight="1" thickTop="1" thickBot="1" x14ac:dyDescent="0.55000000000000004">
      <c r="A12" s="15" t="s">
        <v>34</v>
      </c>
      <c r="B12" s="96"/>
      <c r="C12" s="97"/>
      <c r="D12" s="97"/>
      <c r="E12" s="97"/>
      <c r="F12" s="97"/>
      <c r="G12" s="97"/>
      <c r="H12" s="98"/>
      <c r="I12" s="99"/>
      <c r="J12" s="69"/>
      <c r="K12" s="69"/>
      <c r="L12" s="69"/>
      <c r="M12" s="69"/>
      <c r="N12" s="69"/>
      <c r="O12" s="69"/>
      <c r="P12" s="70"/>
      <c r="Q12" s="100"/>
    </row>
    <row r="13" spans="1:17" ht="47.1" customHeight="1" thickTop="1" x14ac:dyDescent="0.5">
      <c r="A13" s="52" t="s">
        <v>35</v>
      </c>
      <c r="B13" s="73">
        <f>agric!D5</f>
        <v>493</v>
      </c>
      <c r="C13" s="74">
        <f>energ!D6</f>
        <v>382</v>
      </c>
      <c r="D13" s="74">
        <f>indus1!D6</f>
        <v>3213</v>
      </c>
      <c r="E13" s="74">
        <f>'btp2'!D5</f>
        <v>713</v>
      </c>
      <c r="F13" s="74">
        <f>F16</f>
        <v>1052</v>
      </c>
      <c r="G13" s="74">
        <f>Serv.Mrchd1!D6</f>
        <v>3008</v>
      </c>
      <c r="H13" s="75">
        <f>servNM!D5</f>
        <v>1286</v>
      </c>
      <c r="I13" s="76">
        <f t="shared" ref="I13:I18" si="1">SUM(B13:H13)</f>
        <v>10147</v>
      </c>
      <c r="J13" s="69"/>
      <c r="K13" s="69"/>
      <c r="L13" s="69"/>
      <c r="M13" s="69"/>
      <c r="N13" s="69"/>
      <c r="O13" s="69"/>
      <c r="P13" s="70"/>
      <c r="Q13" s="70"/>
    </row>
    <row r="14" spans="1:17" ht="47.1" customHeight="1" x14ac:dyDescent="0.45">
      <c r="A14" s="31" t="s">
        <v>36</v>
      </c>
      <c r="B14" s="80">
        <f>agric!D6</f>
        <v>-47</v>
      </c>
      <c r="C14" s="77"/>
      <c r="D14" s="77">
        <f>indus1!D7</f>
        <v>47</v>
      </c>
      <c r="E14" s="77"/>
      <c r="F14" s="77"/>
      <c r="G14" s="77"/>
      <c r="H14" s="81"/>
      <c r="I14" s="82">
        <f t="shared" si="1"/>
        <v>0</v>
      </c>
      <c r="J14" s="69"/>
      <c r="K14" s="69"/>
      <c r="L14" s="69"/>
      <c r="M14" s="69"/>
      <c r="N14" s="69"/>
      <c r="O14" s="69"/>
      <c r="P14" s="70"/>
      <c r="Q14" s="70"/>
    </row>
    <row r="15" spans="1:17" ht="47.1" customHeight="1" thickBot="1" x14ac:dyDescent="0.5">
      <c r="A15" s="43" t="s">
        <v>37</v>
      </c>
      <c r="B15" s="88"/>
      <c r="C15" s="89"/>
      <c r="D15" s="89">
        <f>indus1!D8</f>
        <v>12</v>
      </c>
      <c r="E15" s="89"/>
      <c r="F15" s="89"/>
      <c r="G15" s="89">
        <f>Serv.Mrchd1!D7</f>
        <v>93</v>
      </c>
      <c r="H15" s="90">
        <f>servNM!D6</f>
        <v>-105</v>
      </c>
      <c r="I15" s="91">
        <f t="shared" si="1"/>
        <v>0</v>
      </c>
      <c r="J15" s="69"/>
      <c r="K15" s="69"/>
      <c r="L15" s="69"/>
      <c r="M15" s="69"/>
      <c r="N15" s="69"/>
      <c r="O15" s="69"/>
      <c r="P15" s="70"/>
      <c r="Q15" s="70"/>
    </row>
    <row r="16" spans="1:17" ht="47.1" customHeight="1" thickTop="1" x14ac:dyDescent="0.5">
      <c r="A16" s="53" t="s">
        <v>38</v>
      </c>
      <c r="B16" s="80">
        <f>SUM(B13:B15)</f>
        <v>446</v>
      </c>
      <c r="C16" s="77">
        <f>SUM(C13:C15)</f>
        <v>382</v>
      </c>
      <c r="D16" s="77">
        <f>SUM(D13:D15)</f>
        <v>3272</v>
      </c>
      <c r="E16" s="77">
        <f>SUM(E13:E15)</f>
        <v>713</v>
      </c>
      <c r="F16" s="77">
        <f>-SUM(F20:F23)</f>
        <v>1052</v>
      </c>
      <c r="G16" s="77">
        <f>SUM(G13:G15)</f>
        <v>3101</v>
      </c>
      <c r="H16" s="81">
        <f>SUM(H13:H15)</f>
        <v>1181</v>
      </c>
      <c r="I16" s="82">
        <f t="shared" si="1"/>
        <v>10147</v>
      </c>
      <c r="J16" s="69"/>
      <c r="K16" s="69"/>
      <c r="L16" s="69"/>
      <c r="M16" s="69"/>
      <c r="N16" s="69"/>
      <c r="O16" s="69"/>
      <c r="P16" s="70"/>
      <c r="Q16" s="70"/>
    </row>
    <row r="17" spans="1:17" ht="47.1" customHeight="1" x14ac:dyDescent="0.45">
      <c r="A17" s="31" t="s">
        <v>39</v>
      </c>
      <c r="B17" s="80">
        <f>agric!D8</f>
        <v>51</v>
      </c>
      <c r="C17" s="77">
        <f>energ!D7</f>
        <v>92</v>
      </c>
      <c r="D17" s="77">
        <f>indus1!D10</f>
        <v>1007</v>
      </c>
      <c r="E17" s="77"/>
      <c r="F17" s="77"/>
      <c r="G17" s="77">
        <f>Serv.Mrchd1!D9</f>
        <v>172</v>
      </c>
      <c r="H17" s="77"/>
      <c r="I17" s="82">
        <f t="shared" si="1"/>
        <v>1322</v>
      </c>
      <c r="J17" s="69"/>
      <c r="K17" s="69"/>
      <c r="L17" s="69"/>
      <c r="M17" s="69"/>
      <c r="N17" s="69"/>
      <c r="O17" s="69"/>
      <c r="P17" s="70"/>
      <c r="Q17" s="70"/>
    </row>
    <row r="18" spans="1:17" ht="47.1" customHeight="1" thickBot="1" x14ac:dyDescent="0.5">
      <c r="A18" s="31" t="s">
        <v>40</v>
      </c>
      <c r="B18" s="80">
        <f>agric!D9</f>
        <v>1</v>
      </c>
      <c r="C18" s="77"/>
      <c r="D18" s="77">
        <f>indus1!D11</f>
        <v>10</v>
      </c>
      <c r="E18" s="77"/>
      <c r="F18" s="77"/>
      <c r="G18" s="77"/>
      <c r="H18" s="77"/>
      <c r="I18" s="82">
        <f t="shared" si="1"/>
        <v>11</v>
      </c>
      <c r="J18" s="69"/>
      <c r="K18" s="69"/>
      <c r="L18" s="69"/>
      <c r="M18" s="69"/>
      <c r="N18" s="69"/>
      <c r="O18" s="69"/>
      <c r="P18" s="70"/>
      <c r="Q18" s="70"/>
    </row>
    <row r="19" spans="1:17" ht="47.1" customHeight="1" thickBot="1" x14ac:dyDescent="0.5">
      <c r="A19" s="35" t="s">
        <v>41</v>
      </c>
      <c r="B19" s="83"/>
      <c r="C19" s="84"/>
      <c r="D19" s="84"/>
      <c r="E19" s="84"/>
      <c r="F19" s="84"/>
      <c r="G19" s="84"/>
      <c r="H19" s="84"/>
      <c r="I19" s="86"/>
      <c r="J19" s="69"/>
      <c r="K19" s="69"/>
      <c r="L19" s="101" t="s">
        <v>56</v>
      </c>
      <c r="M19" s="102"/>
      <c r="N19" s="69"/>
      <c r="O19" s="69"/>
      <c r="P19" s="70"/>
      <c r="Q19" s="70"/>
    </row>
    <row r="20" spans="1:17" ht="47.1" customHeight="1" x14ac:dyDescent="0.45">
      <c r="A20" s="58" t="s">
        <v>42</v>
      </c>
      <c r="B20" s="103">
        <f>agric!D10</f>
        <v>43</v>
      </c>
      <c r="C20" s="104">
        <f>energ!D8</f>
        <v>29</v>
      </c>
      <c r="D20" s="104">
        <f>indus1!D12</f>
        <v>293</v>
      </c>
      <c r="E20" s="105"/>
      <c r="F20" s="104">
        <f>-SUM(B20:D20)</f>
        <v>-365</v>
      </c>
      <c r="G20" s="104"/>
      <c r="H20" s="104"/>
      <c r="I20" s="106">
        <f>SUM(B20:H20)</f>
        <v>0</v>
      </c>
      <c r="J20" s="69"/>
      <c r="K20" s="69"/>
      <c r="L20" s="69"/>
      <c r="M20" s="69"/>
      <c r="N20" s="69"/>
      <c r="O20" s="69"/>
      <c r="P20" s="70"/>
      <c r="Q20" s="70"/>
    </row>
    <row r="21" spans="1:17" ht="47.1" customHeight="1" x14ac:dyDescent="0.45">
      <c r="A21" s="31" t="s">
        <v>54</v>
      </c>
      <c r="B21" s="80">
        <f>agric!D11</f>
        <v>77</v>
      </c>
      <c r="C21" s="77">
        <f>energ!D9</f>
        <v>42</v>
      </c>
      <c r="D21" s="77">
        <f>indus1!D13</f>
        <v>490</v>
      </c>
      <c r="E21" s="105"/>
      <c r="F21" s="77">
        <f>-SUM(B21:D21)</f>
        <v>-609</v>
      </c>
      <c r="G21" s="77"/>
      <c r="H21" s="77"/>
      <c r="I21" s="82">
        <f>SUM(B21:H21)</f>
        <v>0</v>
      </c>
      <c r="J21" s="69"/>
      <c r="K21" s="69"/>
      <c r="L21" s="69"/>
      <c r="M21" s="69"/>
      <c r="N21" s="69"/>
      <c r="O21" s="69"/>
      <c r="P21" s="70"/>
      <c r="Q21" s="70"/>
    </row>
    <row r="22" spans="1:17" ht="47.1" customHeight="1" x14ac:dyDescent="0.45">
      <c r="A22" s="31" t="s">
        <v>44</v>
      </c>
      <c r="B22" s="80"/>
      <c r="C22" s="77"/>
      <c r="D22" s="77">
        <f>indus1!D14</f>
        <v>36</v>
      </c>
      <c r="E22" s="105"/>
      <c r="F22" s="77">
        <f>-SUM(B22:D22)</f>
        <v>-36</v>
      </c>
      <c r="G22" s="77"/>
      <c r="H22" s="77"/>
      <c r="I22" s="82">
        <f>SUM(B22:H22)</f>
        <v>0</v>
      </c>
      <c r="J22" s="69"/>
      <c r="K22" s="69"/>
      <c r="L22" s="69"/>
      <c r="M22" s="69"/>
      <c r="N22" s="69"/>
      <c r="O22" s="69"/>
      <c r="P22" s="70"/>
      <c r="Q22" s="70"/>
    </row>
    <row r="23" spans="1:17" ht="47.1" customHeight="1" x14ac:dyDescent="0.45">
      <c r="A23" s="31" t="s">
        <v>45</v>
      </c>
      <c r="B23" s="80">
        <f>agric!D12</f>
        <v>12</v>
      </c>
      <c r="C23" s="77"/>
      <c r="D23" s="77">
        <f>indus1!D15</f>
        <v>30</v>
      </c>
      <c r="E23" s="100"/>
      <c r="F23" s="77">
        <f>-SUM(B23:D23)</f>
        <v>-42</v>
      </c>
      <c r="G23" s="77"/>
      <c r="H23" s="77"/>
      <c r="I23" s="82">
        <f>SUM(B23:H23)</f>
        <v>0</v>
      </c>
      <c r="J23" s="69"/>
      <c r="K23" s="69"/>
      <c r="L23" s="69"/>
      <c r="M23" s="69"/>
      <c r="N23" s="69"/>
      <c r="O23" s="69"/>
      <c r="P23" s="70"/>
      <c r="Q23" s="70"/>
    </row>
    <row r="24" spans="1:17" ht="47.1" customHeight="1" thickBot="1" x14ac:dyDescent="0.5">
      <c r="A24" s="63" t="s">
        <v>46</v>
      </c>
      <c r="B24" s="83">
        <f>agric!D13</f>
        <v>-28</v>
      </c>
      <c r="C24" s="84">
        <f>energ!D10</f>
        <v>43</v>
      </c>
      <c r="D24" s="84"/>
      <c r="E24" s="84"/>
      <c r="F24" s="84"/>
      <c r="G24" s="84"/>
      <c r="H24" s="84"/>
      <c r="I24" s="86">
        <f>SUM(B23:H24)</f>
        <v>15</v>
      </c>
      <c r="J24" s="69"/>
      <c r="K24" s="69"/>
      <c r="L24" s="69"/>
      <c r="M24" s="69"/>
      <c r="N24" s="69"/>
      <c r="O24" s="69"/>
      <c r="P24" s="70"/>
      <c r="Q24" s="70"/>
    </row>
    <row r="25" spans="1:17" ht="47.1" customHeight="1" thickTop="1" thickBot="1" x14ac:dyDescent="0.55000000000000004">
      <c r="A25" s="64" t="s">
        <v>47</v>
      </c>
      <c r="B25" s="107">
        <f t="shared" ref="B25:H25" si="2">SUM(B16:B24)</f>
        <v>602</v>
      </c>
      <c r="C25" s="108">
        <f t="shared" si="2"/>
        <v>588</v>
      </c>
      <c r="D25" s="108">
        <f t="shared" si="2"/>
        <v>5138</v>
      </c>
      <c r="E25" s="108">
        <f t="shared" si="2"/>
        <v>713</v>
      </c>
      <c r="F25" s="108">
        <f t="shared" si="2"/>
        <v>0</v>
      </c>
      <c r="G25" s="108">
        <f t="shared" si="2"/>
        <v>3273</v>
      </c>
      <c r="H25" s="108">
        <f t="shared" si="2"/>
        <v>1181</v>
      </c>
      <c r="I25" s="109">
        <f>SUM(B25:H25)</f>
        <v>11495</v>
      </c>
      <c r="J25" s="69"/>
      <c r="K25" s="69"/>
      <c r="L25" s="69"/>
      <c r="M25" s="69"/>
      <c r="N25" s="69"/>
      <c r="O25" s="69"/>
      <c r="P25" s="70"/>
      <c r="Q25" s="70"/>
    </row>
    <row r="26" spans="1:17" ht="47.1" customHeight="1" thickTop="1" x14ac:dyDescent="0.3"/>
  </sheetData>
  <sheetProtection selectLockedCells="1" selectUnlockedCells="1"/>
  <mergeCells count="1">
    <mergeCell ref="A1:P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0" zoomScaleNormal="50" workbookViewId="0">
      <selection activeCell="D7" sqref="D7"/>
    </sheetView>
  </sheetViews>
  <sheetFormatPr baseColWidth="10" defaultColWidth="11.44140625" defaultRowHeight="17.100000000000001" customHeight="1" x14ac:dyDescent="0.3"/>
  <cols>
    <col min="1" max="1" width="49" style="2" customWidth="1"/>
    <col min="2" max="17" width="13.88671875" style="110" customWidth="1"/>
    <col min="18" max="16384" width="11.44140625" style="110"/>
  </cols>
  <sheetData>
    <row r="1" spans="1:17" ht="56.7" customHeight="1" x14ac:dyDescent="0.7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1"/>
    </row>
    <row r="2" spans="1:17" ht="56.7" customHeight="1" x14ac:dyDescent="0.5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12"/>
      <c r="Q2" s="112"/>
    </row>
    <row r="3" spans="1:17" s="116" customFormat="1" ht="56.7" customHeight="1" x14ac:dyDescent="0.5">
      <c r="A3" s="7" t="s">
        <v>2</v>
      </c>
      <c r="B3" s="113" t="s">
        <v>3</v>
      </c>
      <c r="C3" s="114" t="s">
        <v>4</v>
      </c>
      <c r="D3" s="114" t="s">
        <v>5</v>
      </c>
      <c r="E3" s="114" t="s">
        <v>6</v>
      </c>
      <c r="F3" s="114" t="s">
        <v>7</v>
      </c>
      <c r="G3" s="114" t="s">
        <v>8</v>
      </c>
      <c r="H3" s="115" t="s">
        <v>8</v>
      </c>
      <c r="I3" s="11" t="s">
        <v>9</v>
      </c>
      <c r="J3" s="11" t="s">
        <v>48</v>
      </c>
      <c r="K3" s="557" t="s">
        <v>11</v>
      </c>
      <c r="L3" s="557"/>
      <c r="M3" s="115" t="s">
        <v>12</v>
      </c>
      <c r="N3" s="558" t="s">
        <v>13</v>
      </c>
      <c r="O3" s="558"/>
      <c r="P3" s="115" t="s">
        <v>14</v>
      </c>
      <c r="Q3" s="11" t="s">
        <v>9</v>
      </c>
    </row>
    <row r="4" spans="1:17" s="116" customFormat="1" ht="56.7" customHeight="1" x14ac:dyDescent="0.5">
      <c r="A4" s="15" t="s">
        <v>15</v>
      </c>
      <c r="B4" s="117" t="s">
        <v>16</v>
      </c>
      <c r="C4" s="118"/>
      <c r="D4" s="118"/>
      <c r="E4" s="118"/>
      <c r="F4" s="118" t="s">
        <v>17</v>
      </c>
      <c r="G4" s="118" t="s">
        <v>18</v>
      </c>
      <c r="H4" s="119" t="s">
        <v>19</v>
      </c>
      <c r="I4" s="19" t="s">
        <v>48</v>
      </c>
      <c r="J4" s="19" t="s">
        <v>21</v>
      </c>
      <c r="K4" s="118" t="s">
        <v>22</v>
      </c>
      <c r="L4" s="118" t="s">
        <v>23</v>
      </c>
      <c r="M4" s="119" t="s">
        <v>24</v>
      </c>
      <c r="N4" s="118" t="s">
        <v>25</v>
      </c>
      <c r="O4" s="118" t="s">
        <v>26</v>
      </c>
      <c r="P4" s="119"/>
      <c r="Q4" s="19" t="s">
        <v>27</v>
      </c>
    </row>
    <row r="5" spans="1:17" ht="56.7" customHeight="1" x14ac:dyDescent="0.5">
      <c r="A5" s="52" t="s">
        <v>28</v>
      </c>
      <c r="B5" s="120">
        <v>89</v>
      </c>
      <c r="C5" s="121"/>
      <c r="D5" s="121">
        <v>234</v>
      </c>
      <c r="E5" s="121"/>
      <c r="F5" s="121"/>
      <c r="G5" s="121">
        <v>18</v>
      </c>
      <c r="H5" s="122">
        <v>8</v>
      </c>
      <c r="I5" s="123">
        <f>SUM(B5:H5)</f>
        <v>349</v>
      </c>
      <c r="J5" s="124">
        <f>agric!D15</f>
        <v>349</v>
      </c>
      <c r="K5" s="125">
        <f>agric!D16</f>
        <v>156</v>
      </c>
      <c r="L5" s="125"/>
      <c r="M5" s="125">
        <f>agric!D17</f>
        <v>4</v>
      </c>
      <c r="N5" s="125">
        <f>agric!D18</f>
        <v>8</v>
      </c>
      <c r="O5" s="125">
        <f>agric!D19</f>
        <v>4</v>
      </c>
      <c r="P5" s="29">
        <f>agric!D20</f>
        <v>81</v>
      </c>
      <c r="Q5" s="30">
        <f>SUM(J5:P5)</f>
        <v>602</v>
      </c>
    </row>
    <row r="6" spans="1:17" ht="56.7" customHeight="1" x14ac:dyDescent="0.5">
      <c r="A6" s="126" t="s">
        <v>4</v>
      </c>
      <c r="B6" s="127">
        <v>15</v>
      </c>
      <c r="C6" s="128">
        <v>93</v>
      </c>
      <c r="D6" s="128">
        <v>97</v>
      </c>
      <c r="E6" s="128">
        <v>10</v>
      </c>
      <c r="F6" s="128">
        <v>44</v>
      </c>
      <c r="G6" s="128">
        <v>40</v>
      </c>
      <c r="H6" s="129">
        <v>29</v>
      </c>
      <c r="I6" s="130">
        <f>SUM(B6:H6)</f>
        <v>328</v>
      </c>
      <c r="J6" s="131">
        <f>energ!D12</f>
        <v>328</v>
      </c>
      <c r="K6" s="125">
        <f>energ!D13</f>
        <v>237</v>
      </c>
      <c r="L6" s="125"/>
      <c r="M6" s="125"/>
      <c r="N6" s="125"/>
      <c r="O6" s="125"/>
      <c r="P6" s="29">
        <f>energ!D14</f>
        <v>23</v>
      </c>
      <c r="Q6" s="30">
        <f>SUM(J6:P6)</f>
        <v>588</v>
      </c>
    </row>
    <row r="7" spans="1:17" ht="56.7" customHeight="1" x14ac:dyDescent="0.5">
      <c r="A7" s="126" t="s">
        <v>29</v>
      </c>
      <c r="B7" s="132">
        <v>110</v>
      </c>
      <c r="C7" s="28">
        <f>ROUND('TES N-1'!C7*'TES Volume étape 3'!C$13/'TES N-1'!C$13,0)</f>
        <v>43</v>
      </c>
      <c r="D7" s="28">
        <f>ROUND('TES N-1'!D7*'TES Volume étape 3'!D$13/'TES N-1'!D$13,0)</f>
        <v>1397</v>
      </c>
      <c r="E7" s="28">
        <f>ROUND('TES N-1'!E7*'TES Volume étape 3'!E$13/'TES N-1'!E$13,0)</f>
        <v>251</v>
      </c>
      <c r="F7" s="28">
        <f>ROUND('TES N-1'!F7*'TES Volume étape 3'!F$13/'TES N-1'!F$13,0)</f>
        <v>41</v>
      </c>
      <c r="G7" s="28">
        <f>ROUND('TES N-1'!G7*'TES Volume étape 3'!G$13/'TES N-1'!G$13,0)</f>
        <v>264</v>
      </c>
      <c r="H7" s="133">
        <v>169</v>
      </c>
      <c r="I7" s="131">
        <f>SUM(B7:H7)</f>
        <v>2275</v>
      </c>
      <c r="J7" s="131">
        <f>indus1!D17+indus1!D18</f>
        <v>2265</v>
      </c>
      <c r="K7" s="125">
        <f>indus1!D19</f>
        <v>1392</v>
      </c>
      <c r="L7" s="125">
        <f>indus1!D20</f>
        <v>48</v>
      </c>
      <c r="M7" s="125">
        <f>indus1!D21</f>
        <v>460</v>
      </c>
      <c r="N7" s="125">
        <f>indus1!D22</f>
        <v>-2</v>
      </c>
      <c r="O7" s="125">
        <f>indus1!D23</f>
        <v>0</v>
      </c>
      <c r="P7" s="29">
        <f>indus1!D24</f>
        <v>975</v>
      </c>
      <c r="Q7" s="30">
        <f>SUM(J7:P7)</f>
        <v>5138</v>
      </c>
    </row>
    <row r="8" spans="1:17" ht="56.7" customHeight="1" x14ac:dyDescent="0.5">
      <c r="A8" s="126" t="s">
        <v>30</v>
      </c>
      <c r="B8" s="132">
        <v>1</v>
      </c>
      <c r="C8" s="28">
        <f>ROUND('TES N-1'!C8*'TES Volume étape 3'!C$13/'TES N-1'!C$13,0)</f>
        <v>10</v>
      </c>
      <c r="D8" s="28">
        <f>ROUND('TES N-1'!D8*'TES Volume étape 3'!D$13/'TES N-1'!D$13,0)</f>
        <v>4</v>
      </c>
      <c r="E8" s="28">
        <f>ROUND('TES N-1'!E8*'TES Volume étape 3'!E$13/'TES N-1'!E$13,0)</f>
        <v>41</v>
      </c>
      <c r="F8" s="28">
        <f>ROUND('TES N-1'!F8*'TES Volume étape 3'!F$13/'TES N-1'!F$13,0)</f>
        <v>2</v>
      </c>
      <c r="G8" s="28">
        <f>ROUND('TES N-1'!G8*'TES Volume étape 3'!G$13/'TES N-1'!G$13,0)</f>
        <v>20</v>
      </c>
      <c r="H8" s="133">
        <v>43</v>
      </c>
      <c r="I8" s="131">
        <f>SUM(B8:H8)</f>
        <v>121</v>
      </c>
      <c r="J8" s="131">
        <f>'BTP1'!D8+'BTP1'!D9</f>
        <v>114</v>
      </c>
      <c r="K8" s="125">
        <f>'BTP1'!D10</f>
        <v>28</v>
      </c>
      <c r="L8" s="125"/>
      <c r="M8" s="125">
        <f>'BTP1'!D11</f>
        <v>570</v>
      </c>
      <c r="N8" s="125"/>
      <c r="O8" s="125">
        <f>'BTP1'!D12</f>
        <v>1</v>
      </c>
      <c r="P8" s="29"/>
      <c r="Q8" s="30">
        <f>SUM(J8:P8)</f>
        <v>713</v>
      </c>
    </row>
    <row r="9" spans="1:17" ht="56.7" customHeight="1" x14ac:dyDescent="0.5">
      <c r="A9" s="134" t="s">
        <v>31</v>
      </c>
      <c r="B9" s="132">
        <v>15</v>
      </c>
      <c r="C9" s="28">
        <f>ROUND('TES N-1'!C9*'TES Volume étape 3'!C$13/'TES N-1'!C$13,0)</f>
        <v>42</v>
      </c>
      <c r="D9" s="28">
        <f>ROUND('TES N-1'!D9*'TES Volume étape 3'!D$13/'TES N-1'!D$13,0)</f>
        <v>605</v>
      </c>
      <c r="E9" s="28">
        <f>ROUND('TES N-1'!E9*'TES Volume étape 3'!E$13/'TES N-1'!E$13,0)</f>
        <v>124</v>
      </c>
      <c r="F9" s="28">
        <f>ROUND('TES N-1'!F9*'TES Volume étape 3'!F$13/'TES N-1'!F$13,0)</f>
        <v>105</v>
      </c>
      <c r="G9" s="28">
        <f>ROUND('TES N-1'!G9*'TES Volume étape 3'!G$13/'TES N-1'!G$13,0)</f>
        <v>560</v>
      </c>
      <c r="H9" s="135">
        <v>108</v>
      </c>
      <c r="I9" s="136">
        <f>SUM(B9:H9)</f>
        <v>1559</v>
      </c>
      <c r="J9" s="136">
        <f>Serv.Mrchd1!D11</f>
        <v>-1655</v>
      </c>
      <c r="K9" s="137">
        <f>Serv.Mrchd1!D12</f>
        <v>1286</v>
      </c>
      <c r="L9" s="137"/>
      <c r="M9" s="137">
        <f>Serv.Mrchd1!D13</f>
        <v>91</v>
      </c>
      <c r="N9" s="137"/>
      <c r="O9" s="137"/>
      <c r="P9" s="41">
        <f>Serv.Mrchd1!D14</f>
        <v>278</v>
      </c>
      <c r="Q9" s="38">
        <f>SUM(J9:P9)</f>
        <v>0</v>
      </c>
    </row>
    <row r="10" spans="1:17" ht="56.7" customHeight="1" x14ac:dyDescent="0.5">
      <c r="A10" s="126" t="s">
        <v>32</v>
      </c>
      <c r="B10" s="132">
        <v>0</v>
      </c>
      <c r="C10" s="28">
        <f>ROUND('TES N-1'!C10*'TES Volume étape 3'!C$13/'TES N-1'!C$13,0)</f>
        <v>0</v>
      </c>
      <c r="D10" s="28">
        <f>ROUND('TES N-1'!D10*'TES Volume étape 3'!D$13/'TES N-1'!D$13,0)</f>
        <v>0</v>
      </c>
      <c r="E10" s="28">
        <f>ROUND('TES N-1'!E10*'TES Volume étape 3'!E$13/'TES N-1'!E$13,0)</f>
        <v>0</v>
      </c>
      <c r="F10" s="28">
        <f>ROUND('TES N-1'!F10*'TES Volume étape 3'!F$13/'TES N-1'!F$13,0)</f>
        <v>0</v>
      </c>
      <c r="G10" s="28">
        <f>ROUND('TES N-1'!G10*'TES Volume étape 3'!G$13/'TES N-1'!G$13,0)</f>
        <v>0</v>
      </c>
      <c r="H10" s="133">
        <v>0</v>
      </c>
      <c r="I10" s="131">
        <v>0</v>
      </c>
      <c r="J10" s="131">
        <v>0</v>
      </c>
      <c r="K10" s="125">
        <f>servNM!D10</f>
        <v>89</v>
      </c>
      <c r="L10" s="125">
        <f>servNM!D11</f>
        <v>1092</v>
      </c>
      <c r="M10" s="125"/>
      <c r="N10" s="125"/>
      <c r="O10" s="125"/>
      <c r="P10" s="29"/>
      <c r="Q10" s="30">
        <f>SUM(K10:P10)</f>
        <v>1181</v>
      </c>
    </row>
    <row r="11" spans="1:17" ht="56.7" customHeight="1" x14ac:dyDescent="0.5">
      <c r="A11" s="138" t="s">
        <v>33</v>
      </c>
      <c r="B11" s="139">
        <f t="shared" ref="B11:H11" si="0">SUM(B5:B10)</f>
        <v>230</v>
      </c>
      <c r="C11" s="140">
        <f t="shared" si="0"/>
        <v>188</v>
      </c>
      <c r="D11" s="140">
        <f t="shared" si="0"/>
        <v>2337</v>
      </c>
      <c r="E11" s="140">
        <f t="shared" si="0"/>
        <v>426</v>
      </c>
      <c r="F11" s="140">
        <f t="shared" si="0"/>
        <v>192</v>
      </c>
      <c r="G11" s="140">
        <f t="shared" si="0"/>
        <v>902</v>
      </c>
      <c r="H11" s="141">
        <f t="shared" si="0"/>
        <v>357</v>
      </c>
      <c r="I11" s="136">
        <f>SUM(B11:H11)</f>
        <v>4632</v>
      </c>
      <c r="J11" s="142">
        <f t="shared" ref="J11:Q11" si="1">SUM(J5:J10)</f>
        <v>1401</v>
      </c>
      <c r="K11" s="143">
        <f t="shared" si="1"/>
        <v>3188</v>
      </c>
      <c r="L11" s="143">
        <f t="shared" si="1"/>
        <v>1140</v>
      </c>
      <c r="M11" s="143">
        <f t="shared" si="1"/>
        <v>1125</v>
      </c>
      <c r="N11" s="143">
        <f t="shared" si="1"/>
        <v>6</v>
      </c>
      <c r="O11" s="143">
        <f t="shared" si="1"/>
        <v>5</v>
      </c>
      <c r="P11" s="143">
        <f t="shared" si="1"/>
        <v>1357</v>
      </c>
      <c r="Q11" s="46">
        <f t="shared" si="1"/>
        <v>8222</v>
      </c>
    </row>
    <row r="12" spans="1:17" ht="56.7" customHeight="1" x14ac:dyDescent="0.5">
      <c r="A12" s="15" t="s">
        <v>34</v>
      </c>
      <c r="B12" s="59"/>
      <c r="C12" s="28"/>
      <c r="D12" s="28"/>
      <c r="E12" s="28"/>
      <c r="F12" s="28"/>
      <c r="G12" s="28"/>
      <c r="H12" s="29"/>
      <c r="I12" s="67"/>
      <c r="J12" s="144"/>
      <c r="K12" s="144"/>
      <c r="L12" s="144"/>
      <c r="M12" s="144"/>
      <c r="N12" s="144"/>
      <c r="O12" s="51"/>
      <c r="P12" s="51"/>
      <c r="Q12" s="145"/>
    </row>
    <row r="13" spans="1:17" ht="56.7" customHeight="1" x14ac:dyDescent="0.5">
      <c r="A13" s="52" t="s">
        <v>35</v>
      </c>
      <c r="B13" s="146">
        <f>agric!D5</f>
        <v>493</v>
      </c>
      <c r="C13" s="147">
        <f>energ!D6</f>
        <v>382</v>
      </c>
      <c r="D13" s="147">
        <f>indus1!D6</f>
        <v>3213</v>
      </c>
      <c r="E13" s="147">
        <f>'BTP1'!D5</f>
        <v>713</v>
      </c>
      <c r="F13" s="147">
        <f>F16</f>
        <v>1052</v>
      </c>
      <c r="G13" s="147">
        <f>Serv.Mrchd1!D6</f>
        <v>3008</v>
      </c>
      <c r="H13" s="148">
        <f>servNM!D5</f>
        <v>1286</v>
      </c>
      <c r="I13" s="124">
        <f t="shared" ref="I13:I18" si="2">SUM(B13:H13)</f>
        <v>10147</v>
      </c>
      <c r="J13" s="144"/>
      <c r="K13" s="144"/>
      <c r="L13" s="144"/>
      <c r="M13" s="144"/>
      <c r="N13" s="144"/>
      <c r="O13" s="51"/>
      <c r="P13" s="51"/>
      <c r="Q13" s="51"/>
    </row>
    <row r="14" spans="1:17" ht="56.7" customHeight="1" x14ac:dyDescent="0.5">
      <c r="A14" s="126" t="s">
        <v>36</v>
      </c>
      <c r="B14" s="149">
        <f>agric!D6</f>
        <v>-47</v>
      </c>
      <c r="C14" s="125"/>
      <c r="D14" s="125">
        <f>indus1!D7</f>
        <v>47</v>
      </c>
      <c r="E14" s="125"/>
      <c r="F14" s="125"/>
      <c r="G14" s="125"/>
      <c r="H14" s="150"/>
      <c r="I14" s="131">
        <f t="shared" si="2"/>
        <v>0</v>
      </c>
      <c r="J14" s="144"/>
      <c r="K14" s="144"/>
      <c r="L14" s="51"/>
      <c r="M14" s="144"/>
      <c r="N14" s="144"/>
      <c r="O14" s="51"/>
      <c r="P14" s="51"/>
      <c r="Q14" s="51"/>
    </row>
    <row r="15" spans="1:17" ht="56.7" customHeight="1" x14ac:dyDescent="0.5">
      <c r="A15" s="138" t="s">
        <v>37</v>
      </c>
      <c r="B15" s="151"/>
      <c r="C15" s="140"/>
      <c r="D15" s="140">
        <f>indus1!D8</f>
        <v>12</v>
      </c>
      <c r="E15" s="140"/>
      <c r="F15" s="140"/>
      <c r="G15" s="140">
        <f>Serv.Mrchd1!D7</f>
        <v>93</v>
      </c>
      <c r="H15" s="152">
        <f>servNM!D6</f>
        <v>-105</v>
      </c>
      <c r="I15" s="153">
        <f t="shared" si="2"/>
        <v>0</v>
      </c>
      <c r="J15" s="144"/>
      <c r="K15" s="154"/>
      <c r="L15" s="144" t="s">
        <v>58</v>
      </c>
      <c r="M15" s="144"/>
      <c r="N15" s="144"/>
      <c r="O15" s="51"/>
      <c r="P15" s="51"/>
      <c r="Q15" s="51"/>
    </row>
    <row r="16" spans="1:17" ht="56.7" customHeight="1" x14ac:dyDescent="0.5">
      <c r="A16" s="53" t="s">
        <v>38</v>
      </c>
      <c r="B16" s="149">
        <f>SUM(B13:B15)</f>
        <v>446</v>
      </c>
      <c r="C16" s="125">
        <f>SUM(C13:C15)</f>
        <v>382</v>
      </c>
      <c r="D16" s="125">
        <f>SUM(D13:D15)</f>
        <v>3272</v>
      </c>
      <c r="E16" s="125">
        <f>SUM(E13:E15)</f>
        <v>713</v>
      </c>
      <c r="F16" s="125">
        <f>-SUM(F20:F23)</f>
        <v>1052</v>
      </c>
      <c r="G16" s="125">
        <f>SUM(G13:G15)</f>
        <v>3101</v>
      </c>
      <c r="H16" s="150">
        <f>SUM(H13:H15)</f>
        <v>1181</v>
      </c>
      <c r="I16" s="131">
        <f t="shared" si="2"/>
        <v>10147</v>
      </c>
      <c r="J16" s="144"/>
      <c r="K16" s="144"/>
      <c r="L16" s="144"/>
      <c r="M16" s="144"/>
      <c r="N16" s="144"/>
      <c r="O16" s="144"/>
      <c r="P16" s="51"/>
      <c r="Q16" s="51"/>
    </row>
    <row r="17" spans="1:17" ht="56.7" customHeight="1" x14ac:dyDescent="0.5">
      <c r="A17" s="126" t="s">
        <v>39</v>
      </c>
      <c r="B17" s="149">
        <f>agric!D8</f>
        <v>51</v>
      </c>
      <c r="C17" s="125">
        <f>energ!D7</f>
        <v>92</v>
      </c>
      <c r="D17" s="125">
        <f>indus1!D10</f>
        <v>1007</v>
      </c>
      <c r="E17" s="125"/>
      <c r="F17" s="125"/>
      <c r="G17" s="125">
        <f>Serv.Mrchd1!D9</f>
        <v>172</v>
      </c>
      <c r="H17" s="125"/>
      <c r="I17" s="131">
        <f t="shared" si="2"/>
        <v>1322</v>
      </c>
      <c r="J17" s="144"/>
      <c r="K17" s="144"/>
      <c r="L17" s="144"/>
      <c r="M17" s="144"/>
      <c r="N17" s="144"/>
      <c r="O17" s="144"/>
      <c r="P17" s="51"/>
      <c r="Q17" s="51"/>
    </row>
    <row r="18" spans="1:17" ht="56.7" customHeight="1" x14ac:dyDescent="0.5">
      <c r="A18" s="126" t="s">
        <v>40</v>
      </c>
      <c r="B18" s="149">
        <f>agric!D9</f>
        <v>1</v>
      </c>
      <c r="C18" s="125"/>
      <c r="D18" s="125">
        <f>indus1!D11</f>
        <v>10</v>
      </c>
      <c r="E18" s="125"/>
      <c r="F18" s="125"/>
      <c r="G18" s="125"/>
      <c r="H18" s="125"/>
      <c r="I18" s="131">
        <f t="shared" si="2"/>
        <v>11</v>
      </c>
      <c r="J18" s="144"/>
      <c r="K18" s="144"/>
      <c r="L18" s="144"/>
      <c r="M18" s="144"/>
      <c r="N18" s="144"/>
      <c r="O18" s="144"/>
      <c r="P18" s="51"/>
      <c r="Q18" s="51"/>
    </row>
    <row r="19" spans="1:17" ht="56.7" customHeight="1" x14ac:dyDescent="0.5">
      <c r="A19" s="134" t="s">
        <v>41</v>
      </c>
      <c r="B19" s="155"/>
      <c r="C19" s="137"/>
      <c r="D19" s="137"/>
      <c r="E19" s="137"/>
      <c r="F19" s="137"/>
      <c r="G19" s="137"/>
      <c r="H19" s="137"/>
      <c r="I19" s="136"/>
      <c r="J19" s="144"/>
      <c r="K19" s="144"/>
      <c r="L19" s="156"/>
      <c r="M19" s="156"/>
      <c r="N19" s="144"/>
      <c r="O19" s="144"/>
      <c r="P19" s="51"/>
      <c r="Q19" s="51"/>
    </row>
    <row r="20" spans="1:17" ht="56.7" customHeight="1" x14ac:dyDescent="0.5">
      <c r="A20" s="53" t="s">
        <v>42</v>
      </c>
      <c r="B20" s="157">
        <f>agric!D10</f>
        <v>43</v>
      </c>
      <c r="C20" s="158">
        <f>energ!D8</f>
        <v>29</v>
      </c>
      <c r="D20" s="158">
        <f>indus1!D12</f>
        <v>293</v>
      </c>
      <c r="E20" s="60"/>
      <c r="F20" s="158">
        <f>-SUM(B20:D20)</f>
        <v>-365</v>
      </c>
      <c r="G20" s="158"/>
      <c r="H20" s="158"/>
      <c r="I20" s="159">
        <f>SUM(B20:H20)</f>
        <v>0</v>
      </c>
      <c r="J20" s="144"/>
      <c r="K20" s="144"/>
      <c r="L20" s="144"/>
      <c r="M20" s="144"/>
      <c r="N20" s="144"/>
      <c r="O20" s="144"/>
      <c r="P20" s="51"/>
      <c r="Q20" s="51"/>
    </row>
    <row r="21" spans="1:17" ht="56.7" customHeight="1" x14ac:dyDescent="0.5">
      <c r="A21" s="126" t="s">
        <v>43</v>
      </c>
      <c r="B21" s="149">
        <f>agric!D11</f>
        <v>77</v>
      </c>
      <c r="C21" s="125">
        <f>energ!D9</f>
        <v>42</v>
      </c>
      <c r="D21" s="125">
        <f>indus1!D13</f>
        <v>490</v>
      </c>
      <c r="E21" s="60"/>
      <c r="F21" s="125">
        <f>-SUM(B21:D21)</f>
        <v>-609</v>
      </c>
      <c r="G21" s="125"/>
      <c r="H21" s="125"/>
      <c r="I21" s="131">
        <f>SUM(B21:H21)</f>
        <v>0</v>
      </c>
      <c r="J21" s="144"/>
      <c r="K21" s="144"/>
      <c r="L21" s="144" t="s">
        <v>59</v>
      </c>
      <c r="M21" s="144"/>
      <c r="N21" s="144"/>
      <c r="O21" s="144"/>
      <c r="P21" s="51"/>
      <c r="Q21" s="51"/>
    </row>
    <row r="22" spans="1:17" ht="56.7" customHeight="1" x14ac:dyDescent="0.5">
      <c r="A22" s="126" t="s">
        <v>44</v>
      </c>
      <c r="B22" s="149"/>
      <c r="C22" s="125"/>
      <c r="D22" s="125">
        <f>indus1!D14</f>
        <v>36</v>
      </c>
      <c r="E22" s="60"/>
      <c r="F22" s="125">
        <f>-SUM(B22:D22)</f>
        <v>-36</v>
      </c>
      <c r="G22" s="125"/>
      <c r="H22" s="125"/>
      <c r="I22" s="131">
        <f>SUM(B22:H22)</f>
        <v>0</v>
      </c>
      <c r="J22" s="144"/>
      <c r="K22" s="144"/>
      <c r="L22" s="144"/>
      <c r="M22" s="144"/>
      <c r="N22" s="144"/>
      <c r="O22" s="144"/>
      <c r="P22" s="51"/>
      <c r="Q22" s="51"/>
    </row>
    <row r="23" spans="1:17" ht="56.7" customHeight="1" x14ac:dyDescent="0.5">
      <c r="A23" s="126" t="s">
        <v>45</v>
      </c>
      <c r="B23" s="149">
        <f>agric!D12</f>
        <v>12</v>
      </c>
      <c r="C23" s="125"/>
      <c r="D23" s="125">
        <f>indus1!D15</f>
        <v>30</v>
      </c>
      <c r="E23" s="145"/>
      <c r="F23" s="125">
        <f>-SUM(B23:D23)</f>
        <v>-42</v>
      </c>
      <c r="G23" s="125"/>
      <c r="H23" s="125"/>
      <c r="I23" s="131">
        <f>SUM(B23:H23)</f>
        <v>0</v>
      </c>
      <c r="J23" s="144"/>
      <c r="K23" s="144"/>
      <c r="L23" s="144"/>
      <c r="M23" s="144"/>
      <c r="N23" s="144"/>
      <c r="O23" s="144"/>
      <c r="P23" s="51"/>
      <c r="Q23" s="51"/>
    </row>
    <row r="24" spans="1:17" ht="56.7" customHeight="1" x14ac:dyDescent="0.5">
      <c r="A24" s="160" t="s">
        <v>46</v>
      </c>
      <c r="B24" s="155">
        <f>agric!D13</f>
        <v>-28</v>
      </c>
      <c r="C24" s="137">
        <f>energ!D10</f>
        <v>43</v>
      </c>
      <c r="D24" s="137"/>
      <c r="E24" s="137"/>
      <c r="F24" s="137"/>
      <c r="G24" s="137"/>
      <c r="H24" s="137"/>
      <c r="I24" s="136">
        <f>SUM(B23:H24)</f>
        <v>15</v>
      </c>
      <c r="J24" s="144"/>
      <c r="K24" s="144"/>
      <c r="L24" s="144"/>
      <c r="M24" s="144"/>
      <c r="N24" s="144"/>
      <c r="O24" s="144"/>
      <c r="P24" s="51"/>
      <c r="Q24" s="51"/>
    </row>
    <row r="25" spans="1:17" ht="56.7" customHeight="1" x14ac:dyDescent="0.5">
      <c r="A25" s="64" t="s">
        <v>47</v>
      </c>
      <c r="B25" s="161">
        <f t="shared" ref="B25:H25" si="3">SUM(B16:B24)</f>
        <v>602</v>
      </c>
      <c r="C25" s="162">
        <f t="shared" si="3"/>
        <v>588</v>
      </c>
      <c r="D25" s="162">
        <f t="shared" si="3"/>
        <v>5138</v>
      </c>
      <c r="E25" s="162">
        <f t="shared" si="3"/>
        <v>713</v>
      </c>
      <c r="F25" s="162">
        <f t="shared" si="3"/>
        <v>0</v>
      </c>
      <c r="G25" s="162">
        <f t="shared" si="3"/>
        <v>3273</v>
      </c>
      <c r="H25" s="162">
        <f t="shared" si="3"/>
        <v>1181</v>
      </c>
      <c r="I25" s="163">
        <f>SUM(B25:H25)</f>
        <v>11495</v>
      </c>
      <c r="J25" s="144"/>
      <c r="K25" s="144"/>
      <c r="L25" s="144"/>
      <c r="M25" s="144"/>
      <c r="N25" s="144"/>
      <c r="O25" s="144"/>
      <c r="P25" s="51"/>
      <c r="Q25" s="51"/>
    </row>
  </sheetData>
  <sheetProtection selectLockedCells="1" selectUnlockedCells="1"/>
  <mergeCells count="3">
    <mergeCell ref="A1:P1"/>
    <mergeCell ref="K3:L3"/>
    <mergeCell ref="N3:O3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2002&amp;C&amp;16Exercice TES        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0" zoomScaleNormal="50" workbookViewId="0">
      <selection activeCell="J9" sqref="J9"/>
    </sheetView>
  </sheetViews>
  <sheetFormatPr baseColWidth="10" defaultColWidth="11.44140625" defaultRowHeight="20.100000000000001" customHeight="1" x14ac:dyDescent="0.5"/>
  <cols>
    <col min="1" max="1" width="56.6640625" style="169" customWidth="1"/>
    <col min="2" max="13" width="13.88671875" style="112" customWidth="1"/>
    <col min="14" max="14" width="16.44140625" style="112" customWidth="1"/>
    <col min="15" max="15" width="15.5546875" style="112" customWidth="1"/>
    <col min="16" max="17" width="13.88671875" style="112" customWidth="1"/>
    <col min="18" max="16384" width="11.44140625" style="169"/>
  </cols>
  <sheetData>
    <row r="1" spans="1:17" ht="65.25" customHeight="1" x14ac:dyDescent="0.7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0"/>
    </row>
    <row r="2" spans="1:17" ht="65.25" customHeight="1" x14ac:dyDescent="0.7">
      <c r="A2" s="5" t="s">
        <v>197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  <c r="Q2" s="172"/>
    </row>
    <row r="3" spans="1:17" s="173" customFormat="1" ht="65.25" customHeight="1" x14ac:dyDescent="0.5">
      <c r="A3" s="7" t="s">
        <v>2</v>
      </c>
      <c r="B3" s="113" t="s">
        <v>3</v>
      </c>
      <c r="C3" s="114" t="s">
        <v>4</v>
      </c>
      <c r="D3" s="114" t="s">
        <v>5</v>
      </c>
      <c r="E3" s="114" t="s">
        <v>6</v>
      </c>
      <c r="F3" s="114" t="s">
        <v>7</v>
      </c>
      <c r="G3" s="114" t="s">
        <v>8</v>
      </c>
      <c r="H3" s="115" t="s">
        <v>8</v>
      </c>
      <c r="I3" s="11" t="s">
        <v>9</v>
      </c>
      <c r="J3" s="11" t="s">
        <v>48</v>
      </c>
      <c r="K3" s="557" t="s">
        <v>11</v>
      </c>
      <c r="L3" s="557"/>
      <c r="M3" s="115" t="s">
        <v>12</v>
      </c>
      <c r="N3" s="558" t="s">
        <v>13</v>
      </c>
      <c r="O3" s="558"/>
      <c r="P3" s="115" t="s">
        <v>14</v>
      </c>
      <c r="Q3" s="11" t="s">
        <v>9</v>
      </c>
    </row>
    <row r="4" spans="1:17" s="173" customFormat="1" ht="65.25" customHeight="1" x14ac:dyDescent="0.5">
      <c r="A4" s="15" t="s">
        <v>15</v>
      </c>
      <c r="B4" s="117" t="s">
        <v>16</v>
      </c>
      <c r="C4" s="118"/>
      <c r="D4" s="118"/>
      <c r="E4" s="118"/>
      <c r="F4" s="118" t="s">
        <v>17</v>
      </c>
      <c r="G4" s="118" t="s">
        <v>18</v>
      </c>
      <c r="H4" s="119" t="s">
        <v>19</v>
      </c>
      <c r="I4" s="19" t="s">
        <v>48</v>
      </c>
      <c r="J4" s="19" t="s">
        <v>21</v>
      </c>
      <c r="K4" s="118" t="s">
        <v>22</v>
      </c>
      <c r="L4" s="118" t="s">
        <v>23</v>
      </c>
      <c r="M4" s="119" t="s">
        <v>24</v>
      </c>
      <c r="N4" s="118" t="s">
        <v>25</v>
      </c>
      <c r="O4" s="118" t="s">
        <v>26</v>
      </c>
      <c r="P4" s="119"/>
      <c r="Q4" s="19" t="s">
        <v>27</v>
      </c>
    </row>
    <row r="5" spans="1:17" ht="65.25" customHeight="1" x14ac:dyDescent="0.5">
      <c r="A5" s="52" t="s">
        <v>28</v>
      </c>
      <c r="B5" s="174">
        <v>91</v>
      </c>
      <c r="C5" s="175"/>
      <c r="D5" s="175">
        <v>241</v>
      </c>
      <c r="E5" s="175"/>
      <c r="F5" s="175"/>
      <c r="G5" s="175">
        <v>19</v>
      </c>
      <c r="H5" s="176">
        <v>8</v>
      </c>
      <c r="I5" s="177">
        <f>SUM(B5:H5)</f>
        <v>359</v>
      </c>
      <c r="J5" s="177">
        <f>agric!F15</f>
        <v>359</v>
      </c>
      <c r="K5" s="125">
        <f>agric!F16</f>
        <v>163</v>
      </c>
      <c r="L5" s="125"/>
      <c r="M5" s="125">
        <f>agric!F17</f>
        <v>4</v>
      </c>
      <c r="N5" s="125">
        <f>agric!F18</f>
        <v>9</v>
      </c>
      <c r="O5" s="125">
        <f>agric!F19</f>
        <v>6</v>
      </c>
      <c r="P5" s="29">
        <f>agric!F20</f>
        <v>86</v>
      </c>
      <c r="Q5" s="30">
        <f>SUM(J5:P5)</f>
        <v>627</v>
      </c>
    </row>
    <row r="6" spans="1:17" ht="65.25" customHeight="1" x14ac:dyDescent="0.5">
      <c r="A6" s="126" t="s">
        <v>4</v>
      </c>
      <c r="B6" s="178">
        <v>16</v>
      </c>
      <c r="C6" s="179">
        <v>107</v>
      </c>
      <c r="D6" s="179">
        <v>101</v>
      </c>
      <c r="E6" s="179">
        <v>11</v>
      </c>
      <c r="F6" s="179">
        <v>46</v>
      </c>
      <c r="G6" s="179">
        <v>42</v>
      </c>
      <c r="H6" s="180">
        <v>30</v>
      </c>
      <c r="I6" s="181">
        <f>SUM(B6:H6)</f>
        <v>353</v>
      </c>
      <c r="J6" s="181">
        <f>energ!F12</f>
        <v>353</v>
      </c>
      <c r="K6" s="125">
        <f>energ!F13</f>
        <v>248</v>
      </c>
      <c r="L6" s="125"/>
      <c r="M6" s="125"/>
      <c r="N6" s="125"/>
      <c r="O6" s="125"/>
      <c r="P6" s="29">
        <f>energ!F14</f>
        <v>26</v>
      </c>
      <c r="Q6" s="30">
        <f>SUM(J6:P6)</f>
        <v>627</v>
      </c>
    </row>
    <row r="7" spans="1:17" ht="65.25" customHeight="1" x14ac:dyDescent="0.5">
      <c r="A7" s="126" t="s">
        <v>29</v>
      </c>
      <c r="B7" s="178">
        <v>115</v>
      </c>
      <c r="C7" s="519">
        <f>ROUND(('TES Volume étape 3'!C7)*1.043,0)</f>
        <v>45</v>
      </c>
      <c r="D7" s="519">
        <f>(ROUND(('TES Volume étape 3'!D7-149)*1.043+(149*1.033),0))</f>
        <v>1456</v>
      </c>
      <c r="E7" s="519">
        <f>ROUND('TES Volume étape 3'!E7*1.043,0)</f>
        <v>262</v>
      </c>
      <c r="F7" s="519">
        <f>ROUND('TES Volume étape 3'!F7*1.043,0)</f>
        <v>43</v>
      </c>
      <c r="G7" s="519">
        <f>ROUND('TES Volume étape 3'!G7*1.043,0)</f>
        <v>275</v>
      </c>
      <c r="H7" s="180">
        <v>174</v>
      </c>
      <c r="I7" s="131">
        <f>SUM(B7:H7)</f>
        <v>2370</v>
      </c>
      <c r="J7" s="131">
        <f>indus1!F17+indus1!F18</f>
        <v>2361</v>
      </c>
      <c r="K7" s="125">
        <f>indus1!F19</f>
        <v>1431</v>
      </c>
      <c r="L7" s="125">
        <f>indus1!F20</f>
        <v>49</v>
      </c>
      <c r="M7" s="125">
        <f>indus1!F21</f>
        <v>472</v>
      </c>
      <c r="N7" s="125">
        <f>indus1!F22</f>
        <v>-2</v>
      </c>
      <c r="O7" s="125">
        <f>indus1!F23</f>
        <v>0</v>
      </c>
      <c r="P7" s="29">
        <f>indus1!F24</f>
        <v>1023</v>
      </c>
      <c r="Q7" s="30">
        <f>SUM(J7:P7)</f>
        <v>5334</v>
      </c>
    </row>
    <row r="8" spans="1:17" ht="65.25" customHeight="1" x14ac:dyDescent="0.5">
      <c r="A8" s="126" t="s">
        <v>30</v>
      </c>
      <c r="B8" s="178">
        <v>1</v>
      </c>
      <c r="C8" s="519">
        <f>ROUND(('TES Volume étape 3'!C8)*1.041,0)</f>
        <v>10</v>
      </c>
      <c r="D8" s="519">
        <f>ROUND(('TES Volume étape 3'!D8)*1.041,0)</f>
        <v>4</v>
      </c>
      <c r="E8" s="519">
        <f>ROUND(('TES Volume étape 3'!E8)*1.041,0)+2</f>
        <v>45</v>
      </c>
      <c r="F8" s="519">
        <f>ROUND(('TES Volume étape 3'!F8)*1.041,0)</f>
        <v>2</v>
      </c>
      <c r="G8" s="519">
        <f>ROUND(('TES Volume étape 3'!G8)*1.041,0)</f>
        <v>21</v>
      </c>
      <c r="H8" s="180">
        <v>44</v>
      </c>
      <c r="I8" s="131">
        <f>SUM(B8:H8)</f>
        <v>127</v>
      </c>
      <c r="J8" s="131">
        <f>'BTP1'!F8+'BTP1'!F9</f>
        <v>119</v>
      </c>
      <c r="K8" s="125">
        <f>'btp2'!F10</f>
        <v>29</v>
      </c>
      <c r="L8" s="125"/>
      <c r="M8" s="125">
        <f>'BTP1'!F11</f>
        <v>592</v>
      </c>
      <c r="N8" s="125"/>
      <c r="O8" s="125">
        <f>'btp2'!F12</f>
        <v>1</v>
      </c>
      <c r="P8" s="29"/>
      <c r="Q8" s="30">
        <f>SUM(J8:P8)</f>
        <v>741</v>
      </c>
    </row>
    <row r="9" spans="1:17" ht="65.25" customHeight="1" x14ac:dyDescent="0.5">
      <c r="A9" s="134" t="s">
        <v>31</v>
      </c>
      <c r="B9" s="178">
        <v>16</v>
      </c>
      <c r="C9" s="519">
        <f>ROUND(('TES Volume étape 3'!C9)*1.05,0)</f>
        <v>44</v>
      </c>
      <c r="D9" s="519">
        <f>ROUND(('TES Volume étape 3'!D9)*1.05,0)</f>
        <v>635</v>
      </c>
      <c r="E9" s="519">
        <f>ROUND(('TES Volume étape 3'!E9)*1.05,0)</f>
        <v>130</v>
      </c>
      <c r="F9" s="519">
        <f>ROUND(('TES Volume étape 3'!F9)*1.05,0)</f>
        <v>110</v>
      </c>
      <c r="G9" s="519">
        <f>ROUND(('TES Volume étape 3'!G9)*1.05,0)</f>
        <v>588</v>
      </c>
      <c r="H9" s="180">
        <v>113</v>
      </c>
      <c r="I9" s="136">
        <f>SUM(B9:H9)</f>
        <v>1636</v>
      </c>
      <c r="J9" s="136">
        <f>Serv.Mrchd1!F11</f>
        <v>-1723</v>
      </c>
      <c r="K9" s="137">
        <f>Serv.Mrchd1!F12</f>
        <v>1340</v>
      </c>
      <c r="L9" s="137"/>
      <c r="M9" s="137">
        <f>Serv.Mrchd1!F13</f>
        <v>94</v>
      </c>
      <c r="N9" s="137"/>
      <c r="O9" s="137"/>
      <c r="P9" s="41">
        <f>Serv.Mrchd1!F14</f>
        <v>289</v>
      </c>
      <c r="Q9" s="38">
        <f>SUM(J9:P9)</f>
        <v>0</v>
      </c>
    </row>
    <row r="10" spans="1:17" ht="65.25" customHeight="1" x14ac:dyDescent="0.5">
      <c r="A10" s="126" t="s">
        <v>32</v>
      </c>
      <c r="B10" s="178">
        <v>0</v>
      </c>
      <c r="C10" s="179">
        <v>0</v>
      </c>
      <c r="D10" s="179">
        <v>0</v>
      </c>
      <c r="E10" s="179">
        <v>0</v>
      </c>
      <c r="F10" s="179">
        <v>0</v>
      </c>
      <c r="G10" s="179">
        <v>0</v>
      </c>
      <c r="H10" s="180">
        <v>0</v>
      </c>
      <c r="I10" s="131">
        <v>0</v>
      </c>
      <c r="J10" s="131">
        <v>0</v>
      </c>
      <c r="K10" s="125">
        <f>servNM!F10</f>
        <v>93</v>
      </c>
      <c r="L10" s="125">
        <f>servNM!F11</f>
        <v>1125</v>
      </c>
      <c r="M10" s="125"/>
      <c r="N10" s="125"/>
      <c r="O10" s="125"/>
      <c r="P10" s="29"/>
      <c r="Q10" s="30">
        <f>SUM(K10:P10)</f>
        <v>1218</v>
      </c>
    </row>
    <row r="11" spans="1:17" ht="65.25" customHeight="1" x14ac:dyDescent="0.5">
      <c r="A11" s="138" t="s">
        <v>33</v>
      </c>
      <c r="B11" s="183">
        <f t="shared" ref="B11:H11" si="0">SUM(B5:B10)</f>
        <v>239</v>
      </c>
      <c r="C11" s="184">
        <f t="shared" si="0"/>
        <v>206</v>
      </c>
      <c r="D11" s="184">
        <f t="shared" si="0"/>
        <v>2437</v>
      </c>
      <c r="E11" s="184">
        <f t="shared" si="0"/>
        <v>448</v>
      </c>
      <c r="F11" s="184">
        <f t="shared" si="0"/>
        <v>201</v>
      </c>
      <c r="G11" s="184">
        <f t="shared" si="0"/>
        <v>945</v>
      </c>
      <c r="H11" s="185">
        <f t="shared" si="0"/>
        <v>369</v>
      </c>
      <c r="I11" s="136">
        <f>SUM(B11:H11)</f>
        <v>4845</v>
      </c>
      <c r="J11" s="142">
        <f t="shared" ref="J11:P11" si="1">SUM(J5:J10)</f>
        <v>1469</v>
      </c>
      <c r="K11" s="143">
        <f t="shared" si="1"/>
        <v>3304</v>
      </c>
      <c r="L11" s="140">
        <f t="shared" si="1"/>
        <v>1174</v>
      </c>
      <c r="M11" s="140">
        <f t="shared" si="1"/>
        <v>1162</v>
      </c>
      <c r="N11" s="140">
        <f t="shared" si="1"/>
        <v>7</v>
      </c>
      <c r="O11" s="140">
        <f t="shared" si="1"/>
        <v>7</v>
      </c>
      <c r="P11" s="50">
        <f t="shared" si="1"/>
        <v>1424</v>
      </c>
      <c r="Q11" s="46">
        <f>SUM(J11:P11)</f>
        <v>8547</v>
      </c>
    </row>
    <row r="12" spans="1:17" ht="65.25" customHeight="1" x14ac:dyDescent="0.5">
      <c r="A12" s="15" t="s">
        <v>34</v>
      </c>
      <c r="B12" s="59">
        <f t="shared" ref="B12:I12" si="2">B13-B11</f>
        <v>275</v>
      </c>
      <c r="C12" s="28">
        <f t="shared" si="2"/>
        <v>190</v>
      </c>
      <c r="D12" s="28">
        <f t="shared" si="2"/>
        <v>882</v>
      </c>
      <c r="E12" s="28">
        <f t="shared" si="2"/>
        <v>293</v>
      </c>
      <c r="F12" s="28">
        <f t="shared" si="2"/>
        <v>891</v>
      </c>
      <c r="G12" s="28">
        <f t="shared" si="2"/>
        <v>2201</v>
      </c>
      <c r="H12" s="29">
        <f t="shared" si="2"/>
        <v>958</v>
      </c>
      <c r="I12" s="67">
        <f t="shared" si="2"/>
        <v>5690</v>
      </c>
      <c r="J12" s="182"/>
      <c r="K12" s="182"/>
      <c r="L12" s="182"/>
      <c r="M12" s="182"/>
      <c r="N12" s="182"/>
      <c r="O12" s="182"/>
      <c r="P12" s="186"/>
      <c r="Q12" s="186"/>
    </row>
    <row r="13" spans="1:17" ht="65.25" customHeight="1" x14ac:dyDescent="0.5">
      <c r="A13" s="52" t="s">
        <v>35</v>
      </c>
      <c r="B13" s="146">
        <f>agric!F5</f>
        <v>514</v>
      </c>
      <c r="C13" s="147">
        <f>energ!F6</f>
        <v>396</v>
      </c>
      <c r="D13" s="147">
        <f>indus2!F6</f>
        <v>3319</v>
      </c>
      <c r="E13" s="147">
        <f>'btp2'!F5</f>
        <v>741</v>
      </c>
      <c r="F13" s="147">
        <f>F16</f>
        <v>1092</v>
      </c>
      <c r="G13" s="147">
        <f>Serv.Mrchd1!F6</f>
        <v>3146</v>
      </c>
      <c r="H13" s="148">
        <f>servNM!F5</f>
        <v>1327</v>
      </c>
      <c r="I13" s="124">
        <f t="shared" ref="I13:I18" si="3">SUM(B13:H13)</f>
        <v>10535</v>
      </c>
      <c r="J13" s="154"/>
      <c r="K13" s="144"/>
      <c r="L13" s="144"/>
      <c r="M13" s="144"/>
      <c r="N13" s="144"/>
      <c r="O13" s="144"/>
      <c r="P13" s="51"/>
      <c r="Q13" s="145"/>
    </row>
    <row r="14" spans="1:17" ht="65.25" customHeight="1" x14ac:dyDescent="0.5">
      <c r="A14" s="126" t="s">
        <v>36</v>
      </c>
      <c r="B14" s="149">
        <f>agric!F6</f>
        <v>-49</v>
      </c>
      <c r="C14" s="125"/>
      <c r="D14" s="125">
        <f>indus2!F7</f>
        <v>49</v>
      </c>
      <c r="E14" s="125"/>
      <c r="F14" s="125"/>
      <c r="G14" s="125"/>
      <c r="H14" s="150"/>
      <c r="I14" s="131">
        <f t="shared" si="3"/>
        <v>0</v>
      </c>
      <c r="J14" s="144"/>
      <c r="K14" s="144"/>
      <c r="L14" s="144"/>
      <c r="M14" s="144"/>
      <c r="N14" s="144" t="s">
        <v>67</v>
      </c>
      <c r="O14" s="51"/>
      <c r="P14" s="51"/>
      <c r="Q14" s="51"/>
    </row>
    <row r="15" spans="1:17" ht="65.25" customHeight="1" x14ac:dyDescent="0.5">
      <c r="A15" s="138" t="s">
        <v>37</v>
      </c>
      <c r="B15" s="151"/>
      <c r="C15" s="140"/>
      <c r="D15" s="140">
        <f>indus2!F8</f>
        <v>12</v>
      </c>
      <c r="E15" s="140"/>
      <c r="F15" s="140"/>
      <c r="G15" s="140">
        <f>Serv.Mrchd2!F6</f>
        <v>97</v>
      </c>
      <c r="H15" s="152">
        <f>servNM!F6</f>
        <v>-109</v>
      </c>
      <c r="I15" s="153">
        <f t="shared" si="3"/>
        <v>0</v>
      </c>
      <c r="J15" s="144"/>
      <c r="K15" s="144"/>
      <c r="L15" s="144" t="s">
        <v>64</v>
      </c>
      <c r="M15" s="144"/>
      <c r="N15" s="144" t="s">
        <v>68</v>
      </c>
      <c r="O15" s="51"/>
      <c r="P15" s="51" t="s">
        <v>69</v>
      </c>
      <c r="Q15" s="51"/>
    </row>
    <row r="16" spans="1:17" ht="65.25" customHeight="1" x14ac:dyDescent="0.5">
      <c r="A16" s="53" t="s">
        <v>38</v>
      </c>
      <c r="B16" s="149">
        <f>SUM(B13:B15)</f>
        <v>465</v>
      </c>
      <c r="C16" s="125">
        <f>SUM(C13:C15)</f>
        <v>396</v>
      </c>
      <c r="D16" s="125">
        <f>SUM(D13:D15)</f>
        <v>3380</v>
      </c>
      <c r="E16" s="125">
        <f>SUM(E13:E15)</f>
        <v>741</v>
      </c>
      <c r="F16" s="125">
        <f>-SUM(F20:F23)</f>
        <v>1092</v>
      </c>
      <c r="G16" s="125">
        <f>SUM(G13:G15)</f>
        <v>3243</v>
      </c>
      <c r="H16" s="150">
        <f>SUM(H13:H15)</f>
        <v>1218</v>
      </c>
      <c r="I16" s="131">
        <f t="shared" si="3"/>
        <v>10535</v>
      </c>
      <c r="J16" s="144"/>
      <c r="K16" s="144"/>
      <c r="L16" s="144"/>
      <c r="M16" s="144"/>
      <c r="N16" s="144"/>
      <c r="O16" s="144"/>
      <c r="P16" s="51"/>
      <c r="Q16" s="51"/>
    </row>
    <row r="17" spans="1:17" ht="65.25" customHeight="1" x14ac:dyDescent="0.5">
      <c r="A17" s="126" t="s">
        <v>39</v>
      </c>
      <c r="B17" s="149">
        <f>agric!F8</f>
        <v>52</v>
      </c>
      <c r="C17" s="125">
        <f>energ!F7</f>
        <v>111</v>
      </c>
      <c r="D17" s="125">
        <f>indus2!F10</f>
        <v>1066</v>
      </c>
      <c r="E17" s="125"/>
      <c r="F17" s="125"/>
      <c r="G17" s="125">
        <f>Serv.Mrchd1!F9</f>
        <v>179</v>
      </c>
      <c r="H17" s="125"/>
      <c r="I17" s="131">
        <f t="shared" si="3"/>
        <v>1408</v>
      </c>
      <c r="J17" s="144"/>
      <c r="K17" s="144"/>
      <c r="L17" s="520" t="s">
        <v>198</v>
      </c>
      <c r="M17" s="144"/>
      <c r="N17" s="144"/>
      <c r="O17" s="144"/>
      <c r="P17" s="51"/>
      <c r="Q17" s="51"/>
    </row>
    <row r="18" spans="1:17" ht="65.25" customHeight="1" x14ac:dyDescent="0.5">
      <c r="A18" s="126" t="s">
        <v>40</v>
      </c>
      <c r="B18" s="149">
        <f>agric!F9</f>
        <v>1</v>
      </c>
      <c r="C18" s="125"/>
      <c r="D18" s="125">
        <f>indus2!F11</f>
        <v>10</v>
      </c>
      <c r="E18" s="125"/>
      <c r="F18" s="125"/>
      <c r="G18" s="125"/>
      <c r="H18" s="125"/>
      <c r="I18" s="131">
        <f t="shared" si="3"/>
        <v>11</v>
      </c>
      <c r="J18" s="144"/>
      <c r="K18" s="144"/>
      <c r="L18" s="520" t="s">
        <v>199</v>
      </c>
      <c r="M18" s="144"/>
      <c r="N18" s="144"/>
      <c r="O18" s="144"/>
      <c r="P18" s="51"/>
      <c r="Q18" s="51"/>
    </row>
    <row r="19" spans="1:17" ht="65.25" customHeight="1" x14ac:dyDescent="0.5">
      <c r="A19" s="134" t="s">
        <v>41</v>
      </c>
      <c r="B19" s="155"/>
      <c r="C19" s="137"/>
      <c r="D19" s="137"/>
      <c r="E19" s="137"/>
      <c r="F19" s="137"/>
      <c r="G19" s="137"/>
      <c r="H19" s="137"/>
      <c r="I19" s="136"/>
      <c r="J19" s="144"/>
      <c r="K19" s="144"/>
      <c r="L19" s="144"/>
      <c r="M19" s="144"/>
      <c r="N19" s="144"/>
      <c r="O19" s="144"/>
      <c r="P19" s="51"/>
      <c r="Q19" s="51"/>
    </row>
    <row r="20" spans="1:17" ht="65.25" customHeight="1" x14ac:dyDescent="0.5">
      <c r="A20" s="53" t="s">
        <v>42</v>
      </c>
      <c r="B20" s="157">
        <f>agric!F10</f>
        <v>44</v>
      </c>
      <c r="C20" s="158">
        <f>energ!F8</f>
        <v>32</v>
      </c>
      <c r="D20" s="158">
        <f>indus2!F12</f>
        <v>306</v>
      </c>
      <c r="E20" s="60"/>
      <c r="F20" s="158">
        <f>-SUM(B20:D20)</f>
        <v>-382</v>
      </c>
      <c r="G20" s="158"/>
      <c r="H20" s="158"/>
      <c r="I20" s="159">
        <f>SUM(B20:H20)</f>
        <v>0</v>
      </c>
      <c r="J20" s="144"/>
      <c r="K20" s="156"/>
      <c r="L20" s="51"/>
      <c r="M20" s="156"/>
      <c r="N20" s="144"/>
      <c r="O20" s="144"/>
      <c r="P20" s="51"/>
      <c r="Q20" s="51"/>
    </row>
    <row r="21" spans="1:17" ht="65.25" customHeight="1" x14ac:dyDescent="0.5">
      <c r="A21" s="126" t="s">
        <v>43</v>
      </c>
      <c r="B21" s="149">
        <f>agric!F11</f>
        <v>81</v>
      </c>
      <c r="C21" s="125">
        <f>energ!F9</f>
        <v>44</v>
      </c>
      <c r="D21" s="125">
        <f>indus2!F13</f>
        <v>504</v>
      </c>
      <c r="E21" s="60"/>
      <c r="F21" s="158">
        <f>-SUM(B21:D21)</f>
        <v>-629</v>
      </c>
      <c r="G21" s="125"/>
      <c r="H21" s="125"/>
      <c r="I21" s="131">
        <f>SUM(B21:H21)</f>
        <v>0</v>
      </c>
      <c r="J21" s="144"/>
      <c r="K21" s="144"/>
      <c r="L21" s="144"/>
      <c r="M21" s="144"/>
      <c r="N21" s="144"/>
      <c r="O21" s="144"/>
      <c r="P21" s="51"/>
      <c r="Q21" s="51"/>
    </row>
    <row r="22" spans="1:17" ht="65.25" customHeight="1" x14ac:dyDescent="0.6">
      <c r="A22" s="126" t="s">
        <v>44</v>
      </c>
      <c r="B22" s="149"/>
      <c r="C22" s="125"/>
      <c r="D22" s="125">
        <f>indus2!F14</f>
        <v>37</v>
      </c>
      <c r="E22" s="60"/>
      <c r="F22" s="158">
        <f>-SUM(B22:D22)</f>
        <v>-37</v>
      </c>
      <c r="G22" s="125"/>
      <c r="H22" s="125"/>
      <c r="I22" s="131">
        <f>SUM(B22:H22)</f>
        <v>0</v>
      </c>
      <c r="J22" s="144"/>
      <c r="K22"/>
      <c r="L22"/>
      <c r="M22" s="187"/>
      <c r="N22" s="188" t="s">
        <v>70</v>
      </c>
      <c r="O22" s="189" t="s">
        <v>71</v>
      </c>
      <c r="P22" s="51"/>
      <c r="Q22" s="51"/>
    </row>
    <row r="23" spans="1:17" ht="65.25" customHeight="1" x14ac:dyDescent="0.6">
      <c r="A23" s="126" t="s">
        <v>45</v>
      </c>
      <c r="B23" s="149">
        <f>agric!F12</f>
        <v>13</v>
      </c>
      <c r="C23" s="125"/>
      <c r="D23" s="125">
        <f>indus2!F15</f>
        <v>31</v>
      </c>
      <c r="E23" s="145"/>
      <c r="F23" s="158">
        <f>-SUM(B23:D23)</f>
        <v>-44</v>
      </c>
      <c r="G23" s="125"/>
      <c r="H23" s="125"/>
      <c r="I23" s="131">
        <f>SUM(B23:H23)</f>
        <v>0</v>
      </c>
      <c r="J23" s="144"/>
      <c r="K23"/>
      <c r="L23"/>
      <c r="M23" s="190" t="s">
        <v>72</v>
      </c>
      <c r="N23" s="191">
        <f>I12+I18+I24</f>
        <v>5716</v>
      </c>
      <c r="O23" s="192">
        <f>Q11-J11-I17</f>
        <v>5670</v>
      </c>
      <c r="P23" s="51"/>
      <c r="Q23" s="51"/>
    </row>
    <row r="24" spans="1:17" ht="65.25" customHeight="1" x14ac:dyDescent="0.5">
      <c r="A24" s="160" t="s">
        <v>46</v>
      </c>
      <c r="B24" s="155">
        <f>agric!F13</f>
        <v>-29</v>
      </c>
      <c r="C24" s="137">
        <f>energ!F10</f>
        <v>44</v>
      </c>
      <c r="D24" s="137"/>
      <c r="E24" s="137"/>
      <c r="F24" s="137"/>
      <c r="G24" s="137"/>
      <c r="H24" s="137"/>
      <c r="I24" s="136">
        <f>SUM(B23:H24)</f>
        <v>15</v>
      </c>
      <c r="J24" s="144"/>
      <c r="K24" s="144"/>
      <c r="L24" s="144"/>
      <c r="M24" s="144"/>
      <c r="N24" s="144"/>
      <c r="O24" s="144"/>
      <c r="P24" s="51"/>
      <c r="Q24" s="51"/>
    </row>
    <row r="25" spans="1:17" ht="65.25" customHeight="1" x14ac:dyDescent="0.5">
      <c r="A25" s="64" t="s">
        <v>47</v>
      </c>
      <c r="B25" s="161">
        <f t="shared" ref="B25:H25" si="4">SUM(B16:B24)</f>
        <v>627</v>
      </c>
      <c r="C25" s="162">
        <f t="shared" si="4"/>
        <v>627</v>
      </c>
      <c r="D25" s="162">
        <f t="shared" si="4"/>
        <v>5334</v>
      </c>
      <c r="E25" s="162">
        <f t="shared" si="4"/>
        <v>741</v>
      </c>
      <c r="F25" s="162">
        <f t="shared" si="4"/>
        <v>0</v>
      </c>
      <c r="G25" s="162">
        <f t="shared" si="4"/>
        <v>3422</v>
      </c>
      <c r="H25" s="162">
        <f t="shared" si="4"/>
        <v>1218</v>
      </c>
      <c r="I25" s="163">
        <f>SUM(B25:H25)</f>
        <v>11969</v>
      </c>
      <c r="J25" s="144"/>
      <c r="K25" s="144"/>
      <c r="L25" s="144"/>
      <c r="M25" s="144"/>
      <c r="N25" s="144"/>
      <c r="O25" s="144"/>
      <c r="P25" s="51"/>
      <c r="Q25" s="51"/>
    </row>
  </sheetData>
  <sheetProtection selectLockedCells="1" selectUnlockedCells="1"/>
  <mergeCells count="3">
    <mergeCell ref="A1:P1"/>
    <mergeCell ref="K3:L3"/>
    <mergeCell ref="N3:O3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   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50" zoomScaleNormal="50" workbookViewId="0">
      <selection activeCell="N25" sqref="N25"/>
    </sheetView>
  </sheetViews>
  <sheetFormatPr baseColWidth="10" defaultColWidth="11.44140625" defaultRowHeight="47.1" customHeight="1" x14ac:dyDescent="0.25"/>
  <cols>
    <col min="1" max="1" width="23.6640625" style="193" customWidth="1"/>
    <col min="2" max="17" width="15.6640625" style="193" customWidth="1"/>
    <col min="18" max="16384" width="11.44140625" style="193"/>
  </cols>
  <sheetData>
    <row r="1" spans="1:20" ht="47.1" customHeight="1" x14ac:dyDescent="0.7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0"/>
    </row>
    <row r="2" spans="1:20" ht="47.1" customHeight="1" thickBot="1" x14ac:dyDescent="0.75">
      <c r="A2" s="5" t="s">
        <v>200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  <c r="Q2" s="172"/>
    </row>
    <row r="3" spans="1:20" s="196" customFormat="1" ht="47.1" customHeight="1" thickTop="1" x14ac:dyDescent="0.5">
      <c r="A3" s="7" t="s">
        <v>2</v>
      </c>
      <c r="B3" s="113" t="s">
        <v>3</v>
      </c>
      <c r="C3" s="114" t="s">
        <v>52</v>
      </c>
      <c r="D3" s="114" t="s">
        <v>5</v>
      </c>
      <c r="E3" s="114" t="s">
        <v>6</v>
      </c>
      <c r="F3" s="114" t="s">
        <v>7</v>
      </c>
      <c r="G3" s="114" t="s">
        <v>8</v>
      </c>
      <c r="H3" s="115" t="s">
        <v>8</v>
      </c>
      <c r="I3" s="11" t="s">
        <v>9</v>
      </c>
      <c r="J3" s="11" t="s">
        <v>48</v>
      </c>
      <c r="K3" s="557" t="s">
        <v>11</v>
      </c>
      <c r="L3" s="557"/>
      <c r="M3" s="115" t="s">
        <v>12</v>
      </c>
      <c r="N3" s="558" t="s">
        <v>13</v>
      </c>
      <c r="O3" s="558"/>
      <c r="P3" s="115" t="s">
        <v>14</v>
      </c>
      <c r="Q3" s="11" t="s">
        <v>9</v>
      </c>
    </row>
    <row r="4" spans="1:20" s="196" customFormat="1" ht="47.1" customHeight="1" thickBot="1" x14ac:dyDescent="0.55000000000000004">
      <c r="A4" s="15" t="s">
        <v>15</v>
      </c>
      <c r="B4" s="117" t="s">
        <v>16</v>
      </c>
      <c r="C4" s="118"/>
      <c r="D4" s="118"/>
      <c r="E4" s="118"/>
      <c r="F4" s="118" t="s">
        <v>17</v>
      </c>
      <c r="G4" s="118" t="s">
        <v>18</v>
      </c>
      <c r="H4" s="119" t="s">
        <v>19</v>
      </c>
      <c r="I4" s="19" t="s">
        <v>48</v>
      </c>
      <c r="J4" s="19" t="s">
        <v>201</v>
      </c>
      <c r="K4" s="118" t="s">
        <v>22</v>
      </c>
      <c r="L4" s="118" t="s">
        <v>23</v>
      </c>
      <c r="M4" s="119" t="s">
        <v>24</v>
      </c>
      <c r="N4" s="118" t="s">
        <v>25</v>
      </c>
      <c r="O4" s="118" t="s">
        <v>26</v>
      </c>
      <c r="P4" s="119"/>
      <c r="Q4" s="19" t="s">
        <v>27</v>
      </c>
    </row>
    <row r="5" spans="1:20" ht="47.1" customHeight="1" thickTop="1" x14ac:dyDescent="0.5">
      <c r="A5" s="52" t="s">
        <v>53</v>
      </c>
      <c r="B5" s="174">
        <f>'TES Valeur étape 4 base 95'!B5</f>
        <v>91</v>
      </c>
      <c r="C5" s="175">
        <f>'TES Valeur étape 4 base 95'!C5</f>
        <v>0</v>
      </c>
      <c r="D5" s="175">
        <f>'TES Valeur étape 4 base 95'!D5</f>
        <v>241</v>
      </c>
      <c r="E5" s="175">
        <f>'TES Valeur étape 4 base 95'!E5</f>
        <v>0</v>
      </c>
      <c r="F5" s="175">
        <f>'TES Valeur étape 4 base 95'!F5</f>
        <v>0</v>
      </c>
      <c r="G5" s="175">
        <f>'TES Valeur étape 4 base 95'!G5</f>
        <v>19</v>
      </c>
      <c r="H5" s="176">
        <f>'TES Valeur étape 4 base 95'!H5</f>
        <v>8</v>
      </c>
      <c r="I5" s="177">
        <f>SUM(B5:H5)</f>
        <v>359</v>
      </c>
      <c r="J5" s="177">
        <f>'TES Valeur étape 4 base 95'!J5</f>
        <v>359</v>
      </c>
      <c r="K5" s="125">
        <f>'TES Valeur étape 4 base 95'!K5</f>
        <v>163</v>
      </c>
      <c r="L5" s="125">
        <f>'TES Valeur étape 4 base 95'!L5</f>
        <v>0</v>
      </c>
      <c r="M5" s="125">
        <f>'TES Valeur étape 4 base 95'!M5</f>
        <v>4</v>
      </c>
      <c r="N5" s="125">
        <f>'TES Valeur étape 4 base 95'!N5</f>
        <v>9</v>
      </c>
      <c r="O5" s="125">
        <f>'TES Valeur étape 4 base 95'!O5</f>
        <v>6</v>
      </c>
      <c r="P5" s="29">
        <f>'TES Valeur étape 4 base 95'!P5</f>
        <v>86</v>
      </c>
      <c r="Q5" s="30">
        <f>SUM(J5:P5)</f>
        <v>627</v>
      </c>
      <c r="R5" s="197">
        <f>Q5-B26</f>
        <v>627</v>
      </c>
      <c r="T5" s="197">
        <f>SUM(C6:G10)</f>
        <v>3988</v>
      </c>
    </row>
    <row r="6" spans="1:20" ht="47.1" customHeight="1" x14ac:dyDescent="0.5">
      <c r="A6" s="126" t="s">
        <v>52</v>
      </c>
      <c r="B6" s="178">
        <f>'TES Valeur étape 4 base 95'!B6</f>
        <v>16</v>
      </c>
      <c r="C6" s="179">
        <f>'TES Valeur étape 4 base 95'!C6</f>
        <v>107</v>
      </c>
      <c r="D6" s="179">
        <f>'TES Valeur étape 4 base 95'!D6</f>
        <v>101</v>
      </c>
      <c r="E6" s="179">
        <f>'TES Valeur étape 4 base 95'!E6</f>
        <v>11</v>
      </c>
      <c r="F6" s="179">
        <f>'TES Valeur étape 4 base 95'!F6</f>
        <v>46</v>
      </c>
      <c r="G6" s="179">
        <f>'TES Valeur étape 4 base 95'!G6</f>
        <v>42</v>
      </c>
      <c r="H6" s="180">
        <f>'TES Valeur étape 4 base 95'!H6</f>
        <v>30</v>
      </c>
      <c r="I6" s="181">
        <f>SUM(B6:H6)</f>
        <v>353</v>
      </c>
      <c r="J6" s="181">
        <f>'TES Valeur étape 4 base 95'!J6</f>
        <v>353</v>
      </c>
      <c r="K6" s="125">
        <f>'TES Valeur étape 4 base 95'!K6</f>
        <v>248</v>
      </c>
      <c r="L6" s="125">
        <f>'TES Valeur étape 4 base 95'!L6</f>
        <v>0</v>
      </c>
      <c r="M6" s="125">
        <f>'TES Valeur étape 4 base 95'!M6</f>
        <v>0</v>
      </c>
      <c r="N6" s="125">
        <f>'TES Valeur étape 4 base 95'!N6</f>
        <v>0</v>
      </c>
      <c r="O6" s="125">
        <f>'TES Valeur étape 4 base 95'!O6</f>
        <v>0</v>
      </c>
      <c r="P6" s="29">
        <f>'TES Valeur étape 4 base 95'!P6</f>
        <v>26</v>
      </c>
      <c r="Q6" s="30">
        <f>SUM(J6:P6)</f>
        <v>627</v>
      </c>
    </row>
    <row r="7" spans="1:20" ht="47.1" customHeight="1" x14ac:dyDescent="0.5">
      <c r="A7" s="126" t="s">
        <v>29</v>
      </c>
      <c r="B7" s="178">
        <f>'TES Valeur étape 4 base 95'!B7</f>
        <v>115</v>
      </c>
      <c r="C7" s="519">
        <f>'TES Valeur étape 4 base 95'!C7-ROUND(9*'TES Valeur étape 4 base 95'!C7/SUM('TES Valeur étape 4 base 95'!$C$7:$G$7),0)</f>
        <v>45</v>
      </c>
      <c r="D7" s="519">
        <f>'TES Valeur étape 4 base 95'!D7-ROUND(9*'TES Valeur étape 4 base 95'!D7/SUM('TES Valeur étape 4 base 95'!$C$7:$G$7),0)-1</f>
        <v>1449</v>
      </c>
      <c r="E7" s="519">
        <f>'TES Valeur étape 4 base 95'!E7-ROUND(9*'TES Valeur étape 4 base 95'!E7/SUM('TES Valeur étape 4 base 95'!$C$7:$G$7),0)</f>
        <v>261</v>
      </c>
      <c r="F7" s="519">
        <f>'TES Valeur étape 4 base 95'!F7-ROUND(9*'TES Valeur étape 4 base 95'!F7/SUM('TES Valeur étape 4 base 95'!$C$7:$G$7),0)</f>
        <v>43</v>
      </c>
      <c r="G7" s="519">
        <f>'TES Valeur étape 4 base 95'!G7-ROUND(9*'TES Valeur étape 4 base 95'!G7/SUM('TES Valeur étape 4 base 95'!$C$7:$G$7),0)</f>
        <v>274</v>
      </c>
      <c r="H7" s="180">
        <f>'TES Valeur étape 4 base 95'!H7</f>
        <v>174</v>
      </c>
      <c r="I7" s="131">
        <f>SUM(B7:H7)</f>
        <v>2361</v>
      </c>
      <c r="J7" s="131">
        <f>'TES Valeur étape 4 base 95'!J7</f>
        <v>2361</v>
      </c>
      <c r="K7" s="125">
        <f>'TES Valeur étape 4 base 95'!K7</f>
        <v>1431</v>
      </c>
      <c r="L7" s="125">
        <f>'TES Valeur étape 4 base 95'!L7</f>
        <v>49</v>
      </c>
      <c r="M7" s="125">
        <f>'TES Valeur étape 4 base 95'!M7</f>
        <v>472</v>
      </c>
      <c r="N7" s="125">
        <f>'TES Valeur étape 4 base 95'!N7</f>
        <v>-2</v>
      </c>
      <c r="O7" s="125">
        <f>'TES Valeur étape 4 base 95'!O7</f>
        <v>0</v>
      </c>
      <c r="P7" s="29">
        <f>'TES Valeur étape 4 base 95'!P7</f>
        <v>1023</v>
      </c>
      <c r="Q7" s="30">
        <f>SUM(J7:P7)</f>
        <v>5334</v>
      </c>
    </row>
    <row r="8" spans="1:20" ht="47.1" customHeight="1" x14ac:dyDescent="0.5">
      <c r="A8" s="126" t="s">
        <v>30</v>
      </c>
      <c r="B8" s="178">
        <f>'TES Valeur étape 4 base 95'!B8</f>
        <v>1</v>
      </c>
      <c r="C8" s="519">
        <f>'TES Valeur étape 4 base 95'!C8-ROUND(10*'TES Valeur étape 4 base 95'!C8/SUM('TES Valeur étape 4 base 95'!$C$8:$G$8),0)-1</f>
        <v>8</v>
      </c>
      <c r="D8" s="519">
        <f>'TES Valeur étape 4 base 95'!D8-ROUND(10*'TES Valeur étape 4 base 95'!D8/SUM('TES Valeur étape 4 base 95'!$C$8:$G$8),0)</f>
        <v>4</v>
      </c>
      <c r="E8" s="519">
        <f>'TES Valeur étape 4 base 95'!E8-ROUND(10*'TES Valeur étape 4 base 95'!E8/SUM('TES Valeur étape 4 base 95'!$C$8:$G$8),0)-2</f>
        <v>38</v>
      </c>
      <c r="F8" s="519">
        <f>'TES Valeur étape 4 base 95'!F8-ROUND(10*'TES Valeur étape 4 base 95'!F8/SUM('TES Valeur étape 4 base 95'!$C$8:$G$8),0)</f>
        <v>2</v>
      </c>
      <c r="G8" s="519">
        <f>'TES Valeur étape 4 base 95'!G8-ROUND(10*'TES Valeur étape 4 base 95'!G8/SUM('TES Valeur étape 4 base 95'!$C$8:$G$8),0)-1</f>
        <v>17</v>
      </c>
      <c r="H8" s="180">
        <f>'TES Valeur étape 4 base 95'!H8</f>
        <v>44</v>
      </c>
      <c r="I8" s="131">
        <f>SUM(B8:H8)</f>
        <v>114</v>
      </c>
      <c r="J8" s="522">
        <f>'TES Valeur étape 4 base 95'!J8-5</f>
        <v>114</v>
      </c>
      <c r="K8" s="125">
        <f>'TES Valeur étape 4 base 95'!K8</f>
        <v>29</v>
      </c>
      <c r="L8" s="125">
        <f>'TES Valeur étape 4 base 95'!L8</f>
        <v>0</v>
      </c>
      <c r="M8" s="525">
        <f>'TES Valeur étape 4 base 95'!M8+5</f>
        <v>597</v>
      </c>
      <c r="N8" s="125">
        <f>'TES Valeur étape 4 base 95'!N8</f>
        <v>0</v>
      </c>
      <c r="O8" s="125">
        <f>'TES Valeur étape 4 base 95'!O8</f>
        <v>1</v>
      </c>
      <c r="P8" s="29">
        <f>'TES Valeur étape 4 base 95'!P8</f>
        <v>0</v>
      </c>
      <c r="Q8" s="30">
        <f>SUM(J8:P8)</f>
        <v>741</v>
      </c>
    </row>
    <row r="9" spans="1:20" ht="47.1" customHeight="1" x14ac:dyDescent="0.5">
      <c r="A9" s="134" t="s">
        <v>62</v>
      </c>
      <c r="B9" s="178"/>
      <c r="C9" s="519"/>
      <c r="D9" s="519"/>
      <c r="E9" s="519"/>
      <c r="F9" s="519"/>
      <c r="G9" s="519"/>
      <c r="H9" s="180"/>
      <c r="I9" s="136"/>
      <c r="J9" s="136"/>
      <c r="K9" s="137"/>
      <c r="L9" s="137"/>
      <c r="M9" s="137"/>
      <c r="N9" s="137"/>
      <c r="O9" s="137"/>
      <c r="P9" s="41"/>
      <c r="Q9" s="38"/>
    </row>
    <row r="10" spans="1:20" ht="47.1" customHeight="1" x14ac:dyDescent="0.5">
      <c r="A10" s="126" t="s">
        <v>31</v>
      </c>
      <c r="B10" s="178">
        <f>'TES Valeur étape 4 base 95'!B9</f>
        <v>16</v>
      </c>
      <c r="C10" s="179">
        <f>'TES Valeur étape 4 base 95'!C9+ROUND(30*'TES Valeur étape 4 base 95'!C9/SUM('TES Valeur étape 4 base 95'!$C$9:$G$9),0)</f>
        <v>45</v>
      </c>
      <c r="D10" s="179">
        <f>'TES Valeur étape 4 base 95'!D9+ROUND(30*'TES Valeur étape 4 base 95'!D9/SUM('TES Valeur étape 4 base 95'!$C$9:$G$9),0)+1</f>
        <v>649</v>
      </c>
      <c r="E10" s="179">
        <f>'TES Valeur étape 4 base 95'!E9+ROUND(30*'TES Valeur étape 4 base 95'!E9/SUM('TES Valeur étape 4 base 95'!$C$9:$G$9),0)</f>
        <v>133</v>
      </c>
      <c r="F10" s="179">
        <f>'TES Valeur étape 4 base 95'!F9+ROUND(30*'TES Valeur étape 4 base 95'!F9/SUM('TES Valeur étape 4 base 95'!$C$9:$G$9),0)</f>
        <v>112</v>
      </c>
      <c r="G10" s="179">
        <f>'TES Valeur étape 4 base 95'!G9+ROUND(30*'TES Valeur étape 4 base 95'!G9/SUM('TES Valeur étape 4 base 95'!$C$9:$G$9),0)+1</f>
        <v>601</v>
      </c>
      <c r="H10" s="180">
        <f>'TES Valeur étape 4 base 95'!H9</f>
        <v>113</v>
      </c>
      <c r="I10" s="131">
        <f>SUM(B10:H10)</f>
        <v>1669</v>
      </c>
      <c r="J10" s="522">
        <f>'TES Valeur étape 4 base 95'!J9-30</f>
        <v>-1753</v>
      </c>
      <c r="K10" s="525">
        <f>'TES Valeur étape 4 base 95'!K9+30</f>
        <v>1370</v>
      </c>
      <c r="L10" s="125">
        <f>'TES Valeur étape 4 base 95'!L9</f>
        <v>0</v>
      </c>
      <c r="M10" s="125">
        <f>'TES Valeur étape 4 base 95'!M9</f>
        <v>94</v>
      </c>
      <c r="N10" s="125">
        <f>'TES Valeur étape 4 base 95'!N9</f>
        <v>0</v>
      </c>
      <c r="O10" s="125">
        <f>'TES Valeur étape 4 base 95'!O9</f>
        <v>0</v>
      </c>
      <c r="P10" s="29">
        <f>'TES Valeur étape 4 base 95'!P9</f>
        <v>289</v>
      </c>
      <c r="Q10" s="30">
        <f>SUM(J10:P10)</f>
        <v>0</v>
      </c>
    </row>
    <row r="11" spans="1:20" ht="47.1" customHeight="1" thickBot="1" x14ac:dyDescent="0.55000000000000004">
      <c r="A11" s="138" t="s">
        <v>32</v>
      </c>
      <c r="B11" s="183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5">
        <v>0</v>
      </c>
      <c r="I11" s="136">
        <v>0</v>
      </c>
      <c r="J11" s="142">
        <v>0</v>
      </c>
      <c r="K11" s="143">
        <f>servNM!F10</f>
        <v>93</v>
      </c>
      <c r="L11" s="140">
        <f>servNM!F11</f>
        <v>1125</v>
      </c>
      <c r="M11" s="140"/>
      <c r="N11" s="140"/>
      <c r="O11" s="140"/>
      <c r="P11" s="50"/>
      <c r="Q11" s="46">
        <f>SUM(K11:P11)</f>
        <v>1218</v>
      </c>
    </row>
    <row r="12" spans="1:20" ht="47.1" customHeight="1" thickTop="1" thickBot="1" x14ac:dyDescent="0.55000000000000004">
      <c r="A12" s="15" t="s">
        <v>33</v>
      </c>
      <c r="B12" s="59">
        <f>SUM(B5:B11)</f>
        <v>239</v>
      </c>
      <c r="C12" s="28">
        <f>SUM(C5:C11)</f>
        <v>205</v>
      </c>
      <c r="D12" s="28">
        <f>SUM(D5:D11)</f>
        <v>2444</v>
      </c>
      <c r="E12" s="28">
        <f>SUM(E6:E11)</f>
        <v>443</v>
      </c>
      <c r="F12" s="28">
        <f>SUM(F6:F11)</f>
        <v>203</v>
      </c>
      <c r="G12" s="28">
        <f>SUM(G5:G11)</f>
        <v>953</v>
      </c>
      <c r="H12" s="29">
        <f>SUM(H5:H11)</f>
        <v>369</v>
      </c>
      <c r="I12" s="67">
        <f>SUM(B12:H12)</f>
        <v>4856</v>
      </c>
      <c r="J12" s="163">
        <f t="shared" ref="J12:P12" si="0">SUM(J5:J11)</f>
        <v>1434</v>
      </c>
      <c r="K12" s="161">
        <f t="shared" si="0"/>
        <v>3334</v>
      </c>
      <c r="L12" s="162">
        <f t="shared" si="0"/>
        <v>1174</v>
      </c>
      <c r="M12" s="162">
        <f t="shared" si="0"/>
        <v>1167</v>
      </c>
      <c r="N12" s="162">
        <f t="shared" si="0"/>
        <v>7</v>
      </c>
      <c r="O12" s="162">
        <f t="shared" si="0"/>
        <v>7</v>
      </c>
      <c r="P12" s="66">
        <f t="shared" si="0"/>
        <v>1424</v>
      </c>
      <c r="Q12" s="523">
        <f>SUM(J12:P12)</f>
        <v>8547</v>
      </c>
    </row>
    <row r="13" spans="1:20" ht="47.1" customHeight="1" thickTop="1" x14ac:dyDescent="0.5">
      <c r="A13" s="52" t="s">
        <v>34</v>
      </c>
      <c r="B13" s="146">
        <f t="shared" ref="B13:I13" si="1">B14-B12</f>
        <v>275</v>
      </c>
      <c r="C13" s="147">
        <f t="shared" si="1"/>
        <v>191</v>
      </c>
      <c r="D13" s="147">
        <f t="shared" si="1"/>
        <v>875</v>
      </c>
      <c r="E13" s="147">
        <f t="shared" si="1"/>
        <v>298</v>
      </c>
      <c r="F13" s="147">
        <f t="shared" si="1"/>
        <v>889</v>
      </c>
      <c r="G13" s="147">
        <f t="shared" si="1"/>
        <v>2193</v>
      </c>
      <c r="H13" s="148">
        <f t="shared" si="1"/>
        <v>958</v>
      </c>
      <c r="I13" s="124">
        <f t="shared" si="1"/>
        <v>5679</v>
      </c>
      <c r="J13" s="154"/>
      <c r="K13" s="144"/>
      <c r="L13" s="144"/>
      <c r="M13" s="144"/>
      <c r="N13" s="144"/>
      <c r="O13" s="144"/>
      <c r="P13" s="51"/>
      <c r="Q13" s="145"/>
    </row>
    <row r="14" spans="1:20" ht="47.1" customHeight="1" x14ac:dyDescent="0.5">
      <c r="A14" s="126" t="s">
        <v>35</v>
      </c>
      <c r="B14" s="149">
        <v>514</v>
      </c>
      <c r="C14" s="125">
        <v>396</v>
      </c>
      <c r="D14" s="125">
        <v>3319</v>
      </c>
      <c r="E14" s="125">
        <v>741</v>
      </c>
      <c r="F14" s="125">
        <f>F17</f>
        <v>1092</v>
      </c>
      <c r="G14" s="125">
        <v>3146</v>
      </c>
      <c r="H14" s="150">
        <f>servNM!F5</f>
        <v>1327</v>
      </c>
      <c r="I14" s="131">
        <f t="shared" ref="I14:I19" si="2">SUM(B14:H14)</f>
        <v>10535</v>
      </c>
      <c r="J14" s="144"/>
      <c r="K14" s="144"/>
      <c r="L14" s="144"/>
      <c r="M14" s="144"/>
      <c r="N14" s="144"/>
      <c r="O14" s="51"/>
      <c r="P14" s="51"/>
      <c r="Q14" s="51"/>
    </row>
    <row r="15" spans="1:20" ht="47.1" customHeight="1" thickBot="1" x14ac:dyDescent="0.55000000000000004">
      <c r="A15" s="138" t="s">
        <v>36</v>
      </c>
      <c r="B15" s="151">
        <v>-49</v>
      </c>
      <c r="C15" s="140"/>
      <c r="D15" s="140">
        <v>49</v>
      </c>
      <c r="E15" s="140"/>
      <c r="F15" s="140"/>
      <c r="G15" s="140"/>
      <c r="H15" s="152"/>
      <c r="I15" s="153">
        <f t="shared" si="2"/>
        <v>0</v>
      </c>
      <c r="J15" s="144"/>
      <c r="K15" s="144"/>
      <c r="L15" s="144"/>
      <c r="M15" s="144" t="s">
        <v>74</v>
      </c>
      <c r="N15" s="144"/>
      <c r="O15" s="51"/>
      <c r="P15" s="51"/>
      <c r="Q15" s="51"/>
    </row>
    <row r="16" spans="1:20" ht="47.1" customHeight="1" thickTop="1" x14ac:dyDescent="0.5">
      <c r="A16" s="53" t="s">
        <v>37</v>
      </c>
      <c r="B16" s="149"/>
      <c r="C16" s="125"/>
      <c r="D16" s="125">
        <f>indus1!F8</f>
        <v>12</v>
      </c>
      <c r="E16" s="125"/>
      <c r="F16" s="125"/>
      <c r="G16" s="125">
        <f>Serv.Mrchd1!F7</f>
        <v>97</v>
      </c>
      <c r="H16" s="150">
        <f>servNM!F6</f>
        <v>-109</v>
      </c>
      <c r="I16" s="131">
        <f t="shared" si="2"/>
        <v>0</v>
      </c>
      <c r="J16" s="144"/>
      <c r="K16" s="144"/>
      <c r="L16" s="144"/>
      <c r="M16" s="144" t="s">
        <v>75</v>
      </c>
      <c r="N16" s="144"/>
      <c r="O16" s="144" t="s">
        <v>76</v>
      </c>
      <c r="P16" s="51"/>
      <c r="Q16" s="51"/>
    </row>
    <row r="17" spans="1:17" ht="47.1" customHeight="1" x14ac:dyDescent="0.5">
      <c r="A17" s="126" t="s">
        <v>38</v>
      </c>
      <c r="B17" s="149">
        <f>SUM(B14:B16)</f>
        <v>465</v>
      </c>
      <c r="C17" s="125">
        <f>SUM(C14:C16)</f>
        <v>396</v>
      </c>
      <c r="D17" s="125">
        <f>SUM(D14:D16)</f>
        <v>3380</v>
      </c>
      <c r="E17" s="125">
        <f>SUM(E14:E16)</f>
        <v>741</v>
      </c>
      <c r="F17" s="125">
        <f>-SUM(F21:F24)</f>
        <v>1092</v>
      </c>
      <c r="G17" s="125">
        <f>SUM(G14:G16)</f>
        <v>3243</v>
      </c>
      <c r="H17" s="125">
        <f>SUM(H14:H16)</f>
        <v>1218</v>
      </c>
      <c r="I17" s="131">
        <f t="shared" si="2"/>
        <v>10535</v>
      </c>
      <c r="J17" s="144"/>
      <c r="K17" s="144"/>
      <c r="L17" s="520"/>
      <c r="M17" s="144"/>
      <c r="N17" s="144"/>
      <c r="O17" s="144"/>
      <c r="P17" s="51"/>
      <c r="Q17" s="51"/>
    </row>
    <row r="18" spans="1:17" ht="47.1" customHeight="1" x14ac:dyDescent="0.5">
      <c r="A18" s="126" t="s">
        <v>39</v>
      </c>
      <c r="B18" s="149">
        <v>52</v>
      </c>
      <c r="C18" s="125">
        <v>111</v>
      </c>
      <c r="D18" s="125">
        <v>1066</v>
      </c>
      <c r="E18" s="125"/>
      <c r="F18" s="125"/>
      <c r="G18" s="125">
        <v>179</v>
      </c>
      <c r="H18" s="125"/>
      <c r="I18" s="131">
        <f t="shared" si="2"/>
        <v>1408</v>
      </c>
      <c r="J18" s="144"/>
      <c r="K18" s="144"/>
      <c r="L18" s="520"/>
      <c r="M18" s="144"/>
      <c r="N18" s="144"/>
      <c r="O18" s="144"/>
      <c r="P18" s="51"/>
      <c r="Q18" s="51"/>
    </row>
    <row r="19" spans="1:17" ht="47.1" customHeight="1" x14ac:dyDescent="0.5">
      <c r="A19" s="134" t="s">
        <v>40</v>
      </c>
      <c r="B19" s="155">
        <f>agric!D9</f>
        <v>1</v>
      </c>
      <c r="C19" s="137"/>
      <c r="D19" s="137">
        <f>indus2!D11</f>
        <v>10</v>
      </c>
      <c r="E19" s="137"/>
      <c r="F19" s="137"/>
      <c r="G19" s="137"/>
      <c r="H19" s="137"/>
      <c r="I19" s="136">
        <f t="shared" si="2"/>
        <v>11</v>
      </c>
      <c r="J19" s="144"/>
      <c r="K19" s="144"/>
      <c r="L19" s="144"/>
      <c r="M19" s="144"/>
      <c r="N19" s="144"/>
      <c r="O19" s="144"/>
      <c r="P19" s="51"/>
      <c r="Q19" s="51"/>
    </row>
    <row r="20" spans="1:17" ht="47.1" customHeight="1" thickBot="1" x14ac:dyDescent="0.55000000000000004">
      <c r="A20" s="53" t="s">
        <v>41</v>
      </c>
      <c r="B20" s="157"/>
      <c r="C20" s="158"/>
      <c r="D20" s="158"/>
      <c r="E20" s="60"/>
      <c r="F20" s="158"/>
      <c r="G20" s="158"/>
      <c r="H20" s="158"/>
      <c r="I20" s="159"/>
      <c r="J20" s="144"/>
      <c r="K20" s="156"/>
      <c r="L20" s="51"/>
      <c r="M20" s="156"/>
      <c r="N20" s="144"/>
      <c r="O20" s="144"/>
      <c r="P20" s="51"/>
      <c r="Q20" s="51"/>
    </row>
    <row r="21" spans="1:17" ht="47.1" customHeight="1" thickTop="1" x14ac:dyDescent="0.5">
      <c r="A21" s="126" t="s">
        <v>42</v>
      </c>
      <c r="B21" s="149">
        <v>44</v>
      </c>
      <c r="C21" s="125">
        <v>32</v>
      </c>
      <c r="D21" s="125">
        <v>306</v>
      </c>
      <c r="E21" s="60"/>
      <c r="F21" s="158">
        <f>-SUM(B21:D21)</f>
        <v>-382</v>
      </c>
      <c r="G21" s="125"/>
      <c r="H21" s="125"/>
      <c r="I21" s="131">
        <f>SUM(B21:H21)</f>
        <v>0</v>
      </c>
      <c r="J21" s="144"/>
      <c r="K21" s="144"/>
      <c r="L21" s="532"/>
      <c r="M21" s="533" t="s">
        <v>202</v>
      </c>
      <c r="N21" s="534" t="s">
        <v>203</v>
      </c>
      <c r="O21" s="526"/>
      <c r="P21" s="51"/>
      <c r="Q21" s="51"/>
    </row>
    <row r="22" spans="1:17" ht="47.1" customHeight="1" thickBot="1" x14ac:dyDescent="0.65">
      <c r="A22" s="126" t="s">
        <v>54</v>
      </c>
      <c r="B22" s="149">
        <v>81</v>
      </c>
      <c r="C22" s="125">
        <v>44</v>
      </c>
      <c r="D22" s="125">
        <v>504</v>
      </c>
      <c r="E22" s="60"/>
      <c r="F22" s="158">
        <f>-SUM(B22:D22)</f>
        <v>-629</v>
      </c>
      <c r="G22" s="125"/>
      <c r="H22" s="125"/>
      <c r="I22" s="131">
        <f>SUM(B22:H22)</f>
        <v>0</v>
      </c>
      <c r="J22" s="144"/>
      <c r="K22"/>
      <c r="L22" s="535" t="s">
        <v>77</v>
      </c>
      <c r="M22" s="536">
        <f>I13+I19+I25</f>
        <v>5705</v>
      </c>
      <c r="N22" s="537">
        <f>Q12-I12-I18</f>
        <v>2283</v>
      </c>
      <c r="O22" s="528"/>
      <c r="P22" s="51"/>
      <c r="Q22" s="51"/>
    </row>
    <row r="23" spans="1:17" ht="47.1" customHeight="1" thickTop="1" x14ac:dyDescent="0.6">
      <c r="A23" s="126" t="s">
        <v>44</v>
      </c>
      <c r="B23" s="149">
        <v>0</v>
      </c>
      <c r="C23" s="125"/>
      <c r="D23" s="125">
        <v>37</v>
      </c>
      <c r="E23" s="145"/>
      <c r="F23" s="158">
        <f>-SUM(B23:D23)</f>
        <v>-37</v>
      </c>
      <c r="G23" s="125"/>
      <c r="H23" s="125"/>
      <c r="I23" s="131">
        <f>SUM(B23:H23)</f>
        <v>0</v>
      </c>
      <c r="J23" s="144"/>
      <c r="K23"/>
      <c r="L23" s="529"/>
      <c r="M23" s="527"/>
      <c r="N23" s="530"/>
      <c r="O23" s="530"/>
      <c r="P23" s="51"/>
      <c r="Q23" s="51"/>
    </row>
    <row r="24" spans="1:17" ht="47.1" customHeight="1" thickBot="1" x14ac:dyDescent="0.55000000000000004">
      <c r="A24" s="160" t="s">
        <v>45</v>
      </c>
      <c r="B24" s="155">
        <v>13</v>
      </c>
      <c r="C24" s="137"/>
      <c r="D24" s="137">
        <v>31</v>
      </c>
      <c r="E24" s="137"/>
      <c r="F24" s="137">
        <f>-SUM(B24:D24)</f>
        <v>-44</v>
      </c>
      <c r="G24" s="137"/>
      <c r="H24" s="137"/>
      <c r="I24" s="136">
        <f>SUM(B24:H24)</f>
        <v>0</v>
      </c>
      <c r="J24" s="144"/>
      <c r="K24" s="144"/>
      <c r="L24" s="531"/>
      <c r="M24" s="531"/>
      <c r="N24" s="531"/>
      <c r="O24" s="531"/>
      <c r="P24" s="51"/>
      <c r="Q24" s="51"/>
    </row>
    <row r="25" spans="1:17" ht="47.1" customHeight="1" thickTop="1" thickBot="1" x14ac:dyDescent="0.55000000000000004">
      <c r="A25" s="64" t="s">
        <v>46</v>
      </c>
      <c r="B25" s="161">
        <v>-29</v>
      </c>
      <c r="C25" s="162">
        <v>44</v>
      </c>
      <c r="D25" s="162"/>
      <c r="E25" s="162"/>
      <c r="F25" s="162"/>
      <c r="G25" s="162"/>
      <c r="H25" s="162"/>
      <c r="I25" s="163">
        <f>SUM(B24:H25)</f>
        <v>15</v>
      </c>
      <c r="J25" s="144"/>
      <c r="K25" s="144"/>
      <c r="L25" s="144"/>
      <c r="M25" s="144"/>
      <c r="N25" s="144"/>
      <c r="O25" s="144"/>
      <c r="P25" s="51"/>
      <c r="Q25" s="51"/>
    </row>
    <row r="26" spans="1:17" ht="47.1" customHeight="1" thickTop="1" x14ac:dyDescent="0.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70"/>
    </row>
    <row r="27" spans="1:17" s="194" customFormat="1" ht="47.1" customHeight="1" x14ac:dyDescent="0.25">
      <c r="C27" s="287"/>
      <c r="D27" s="287"/>
      <c r="E27" s="287"/>
      <c r="F27" s="287"/>
      <c r="G27" s="287"/>
    </row>
    <row r="28" spans="1:17" s="194" customFormat="1" ht="47.1" customHeight="1" x14ac:dyDescent="0.25">
      <c r="C28" s="521"/>
      <c r="D28" s="521"/>
      <c r="E28" s="521"/>
      <c r="F28" s="521"/>
      <c r="G28" s="521"/>
    </row>
    <row r="29" spans="1:17" ht="47.1" customHeight="1" x14ac:dyDescent="0.25">
      <c r="C29" s="198"/>
      <c r="D29" s="198"/>
      <c r="E29" s="198"/>
      <c r="F29" s="198"/>
      <c r="G29" s="198"/>
    </row>
    <row r="30" spans="1:17" ht="47.1" customHeight="1" x14ac:dyDescent="0.25">
      <c r="C30" s="198"/>
      <c r="D30" s="198"/>
      <c r="E30" s="198"/>
      <c r="F30" s="198"/>
      <c r="G30" s="198"/>
    </row>
    <row r="31" spans="1:17" ht="47.1" customHeight="1" x14ac:dyDescent="0.25">
      <c r="C31" s="198"/>
      <c r="D31" s="198"/>
      <c r="E31" s="198"/>
      <c r="F31" s="198"/>
      <c r="G31" s="198"/>
    </row>
    <row r="32" spans="1:17" ht="47.1" customHeight="1" x14ac:dyDescent="0.25">
      <c r="C32" s="198"/>
      <c r="D32" s="198"/>
      <c r="E32" s="198"/>
      <c r="F32" s="198"/>
      <c r="G32" s="198"/>
    </row>
  </sheetData>
  <sheetProtection selectLockedCells="1" selectUnlockedCells="1"/>
  <mergeCells count="4">
    <mergeCell ref="A26:P26"/>
    <mergeCell ref="A1:P1"/>
    <mergeCell ref="K3:L3"/>
    <mergeCell ref="N3:O3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B19" sqref="B19:I28"/>
    </sheetView>
  </sheetViews>
  <sheetFormatPr baseColWidth="10" defaultColWidth="11" defaultRowHeight="13.2" x14ac:dyDescent="0.25"/>
  <cols>
    <col min="1" max="1" width="17.88671875" customWidth="1"/>
    <col min="2" max="2" width="28.109375" customWidth="1"/>
    <col min="3" max="6" width="12.6640625" customWidth="1"/>
  </cols>
  <sheetData>
    <row r="1" spans="2:8" x14ac:dyDescent="0.25">
      <c r="B1" s="485" t="s">
        <v>63</v>
      </c>
      <c r="C1" s="164" t="s">
        <v>52</v>
      </c>
      <c r="D1" s="164" t="s">
        <v>29</v>
      </c>
      <c r="E1" s="164" t="s">
        <v>6</v>
      </c>
      <c r="F1" s="164" t="s">
        <v>7</v>
      </c>
      <c r="G1" s="164" t="s">
        <v>8</v>
      </c>
      <c r="H1" t="s">
        <v>60</v>
      </c>
    </row>
    <row r="2" spans="2:8" x14ac:dyDescent="0.25">
      <c r="B2" t="s">
        <v>61</v>
      </c>
      <c r="C2" s="165"/>
      <c r="D2" s="165"/>
      <c r="E2" s="166"/>
      <c r="F2" s="165" t="s">
        <v>17</v>
      </c>
      <c r="G2" s="165" t="s">
        <v>18</v>
      </c>
    </row>
    <row r="3" spans="2:8" x14ac:dyDescent="0.25">
      <c r="B3" t="s">
        <v>52</v>
      </c>
      <c r="C3">
        <f>396-22</f>
        <v>374</v>
      </c>
      <c r="D3">
        <v>15</v>
      </c>
      <c r="E3">
        <v>7</v>
      </c>
      <c r="F3">
        <v>0</v>
      </c>
      <c r="G3">
        <v>0</v>
      </c>
      <c r="H3">
        <f t="shared" ref="H3:H8" si="0">SUM(C3:G3)</f>
        <v>396</v>
      </c>
    </row>
    <row r="4" spans="2:8" x14ac:dyDescent="0.25">
      <c r="B4" t="s">
        <v>29</v>
      </c>
      <c r="C4">
        <v>0</v>
      </c>
      <c r="D4" s="167">
        <f>2901+3319-3161</f>
        <v>3059</v>
      </c>
      <c r="E4">
        <v>26</v>
      </c>
      <c r="F4">
        <v>0</v>
      </c>
      <c r="G4">
        <v>234</v>
      </c>
      <c r="H4">
        <f t="shared" si="0"/>
        <v>3319</v>
      </c>
    </row>
    <row r="5" spans="2:8" x14ac:dyDescent="0.25">
      <c r="B5" t="s">
        <v>30</v>
      </c>
      <c r="C5">
        <v>0</v>
      </c>
      <c r="D5">
        <v>12</v>
      </c>
      <c r="E5" s="167">
        <f>704+741-724</f>
        <v>721</v>
      </c>
      <c r="F5">
        <v>0</v>
      </c>
      <c r="G5">
        <v>8</v>
      </c>
      <c r="H5">
        <f t="shared" si="0"/>
        <v>741</v>
      </c>
    </row>
    <row r="6" spans="2:8" x14ac:dyDescent="0.25">
      <c r="B6" t="s">
        <v>62</v>
      </c>
      <c r="C6">
        <v>0</v>
      </c>
      <c r="D6">
        <v>0</v>
      </c>
      <c r="E6">
        <v>0</v>
      </c>
      <c r="F6">
        <f>1092-53</f>
        <v>1039</v>
      </c>
      <c r="G6">
        <v>53</v>
      </c>
      <c r="H6">
        <f t="shared" si="0"/>
        <v>1092</v>
      </c>
    </row>
    <row r="7" spans="2:8" x14ac:dyDescent="0.25">
      <c r="B7" t="s">
        <v>64</v>
      </c>
      <c r="C7">
        <v>0</v>
      </c>
      <c r="D7">
        <v>130</v>
      </c>
      <c r="E7">
        <v>22</v>
      </c>
      <c r="F7">
        <v>0</v>
      </c>
      <c r="G7">
        <v>2994</v>
      </c>
      <c r="H7">
        <f t="shared" si="0"/>
        <v>3146</v>
      </c>
    </row>
    <row r="8" spans="2:8" x14ac:dyDescent="0.25">
      <c r="B8" t="s">
        <v>60</v>
      </c>
      <c r="C8">
        <f>SUM(C3:C7)</f>
        <v>374</v>
      </c>
      <c r="D8">
        <f>SUM(D3:D7)</f>
        <v>3216</v>
      </c>
      <c r="E8">
        <f>SUM(E3:E7)</f>
        <v>776</v>
      </c>
      <c r="F8">
        <f>SUM(F3:F7)</f>
        <v>1039</v>
      </c>
      <c r="G8">
        <f>SUM(G3:G7)</f>
        <v>3289</v>
      </c>
      <c r="H8">
        <f t="shared" si="0"/>
        <v>8694</v>
      </c>
    </row>
    <row r="10" spans="2:8" x14ac:dyDescent="0.25">
      <c r="B10" s="485" t="s">
        <v>2</v>
      </c>
      <c r="C10" s="164" t="s">
        <v>52</v>
      </c>
      <c r="D10" s="164" t="s">
        <v>29</v>
      </c>
      <c r="E10" s="164" t="s">
        <v>6</v>
      </c>
      <c r="F10" s="164" t="s">
        <v>7</v>
      </c>
      <c r="G10" s="164" t="s">
        <v>8</v>
      </c>
      <c r="H10" t="s">
        <v>60</v>
      </c>
    </row>
    <row r="11" spans="2:8" x14ac:dyDescent="0.25">
      <c r="B11" t="s">
        <v>63</v>
      </c>
      <c r="C11" s="165"/>
      <c r="D11" s="165"/>
      <c r="E11" s="166"/>
      <c r="F11" s="165" t="s">
        <v>17</v>
      </c>
      <c r="G11" s="165" t="s">
        <v>65</v>
      </c>
    </row>
    <row r="12" spans="2:8" x14ac:dyDescent="0.25">
      <c r="B12" t="s">
        <v>52</v>
      </c>
      <c r="C12">
        <v>374</v>
      </c>
      <c r="D12">
        <v>0</v>
      </c>
      <c r="E12">
        <v>0</v>
      </c>
      <c r="F12">
        <v>0</v>
      </c>
      <c r="G12">
        <v>0</v>
      </c>
      <c r="H12">
        <f t="shared" ref="H12:H17" si="1">SUM(C12:G12)</f>
        <v>374</v>
      </c>
    </row>
    <row r="13" spans="2:8" x14ac:dyDescent="0.25">
      <c r="B13" t="s">
        <v>29</v>
      </c>
      <c r="C13">
        <v>15</v>
      </c>
      <c r="D13">
        <v>3059</v>
      </c>
      <c r="E13">
        <v>12</v>
      </c>
      <c r="F13">
        <v>0</v>
      </c>
      <c r="G13">
        <v>130</v>
      </c>
      <c r="H13">
        <f t="shared" si="1"/>
        <v>3216</v>
      </c>
    </row>
    <row r="14" spans="2:8" x14ac:dyDescent="0.25">
      <c r="B14" t="s">
        <v>30</v>
      </c>
      <c r="C14">
        <v>7</v>
      </c>
      <c r="D14">
        <v>26</v>
      </c>
      <c r="E14">
        <v>721</v>
      </c>
      <c r="F14">
        <v>0</v>
      </c>
      <c r="G14">
        <v>22</v>
      </c>
      <c r="H14">
        <f t="shared" si="1"/>
        <v>776</v>
      </c>
    </row>
    <row r="15" spans="2:8" x14ac:dyDescent="0.25">
      <c r="B15" t="s">
        <v>62</v>
      </c>
      <c r="C15">
        <v>0</v>
      </c>
      <c r="D15">
        <v>0</v>
      </c>
      <c r="E15">
        <v>0</v>
      </c>
      <c r="F15">
        <v>1039</v>
      </c>
      <c r="G15">
        <v>0</v>
      </c>
      <c r="H15">
        <f t="shared" si="1"/>
        <v>1039</v>
      </c>
    </row>
    <row r="16" spans="2:8" x14ac:dyDescent="0.25">
      <c r="B16" t="s">
        <v>64</v>
      </c>
      <c r="C16">
        <v>0</v>
      </c>
      <c r="D16">
        <v>234</v>
      </c>
      <c r="E16">
        <v>8</v>
      </c>
      <c r="F16">
        <v>53</v>
      </c>
      <c r="G16">
        <v>2994</v>
      </c>
      <c r="H16">
        <f t="shared" si="1"/>
        <v>3289</v>
      </c>
    </row>
    <row r="17" spans="2:8" x14ac:dyDescent="0.25">
      <c r="B17" t="s">
        <v>60</v>
      </c>
      <c r="C17">
        <f>SUM(C12:C16)</f>
        <v>396</v>
      </c>
      <c r="D17">
        <f>SUM(D12:D16)</f>
        <v>3319</v>
      </c>
      <c r="E17">
        <f>SUM(E12:E16)</f>
        <v>741</v>
      </c>
      <c r="F17">
        <f>SUM(F12:F16)</f>
        <v>1092</v>
      </c>
      <c r="G17">
        <f>SUM(G12:G16)</f>
        <v>3146</v>
      </c>
      <c r="H17">
        <f t="shared" si="1"/>
        <v>8694</v>
      </c>
    </row>
    <row r="19" spans="2:8" x14ac:dyDescent="0.25">
      <c r="C19" s="164"/>
      <c r="D19" s="164"/>
      <c r="E19" s="164"/>
      <c r="F19" s="164"/>
      <c r="G19" s="164"/>
    </row>
    <row r="20" spans="2:8" x14ac:dyDescent="0.25">
      <c r="C20" s="165"/>
      <c r="D20" s="165"/>
      <c r="E20" s="166"/>
      <c r="F20" s="165"/>
      <c r="G20" s="165"/>
    </row>
    <row r="22" spans="2:8" x14ac:dyDescent="0.25">
      <c r="D22" s="167"/>
    </row>
    <row r="23" spans="2:8" x14ac:dyDescent="0.25">
      <c r="E23" s="167"/>
    </row>
    <row r="28" spans="2:8" x14ac:dyDescent="0.25">
      <c r="H28" s="16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22"/>
  <sheetViews>
    <sheetView topLeftCell="A16" zoomScale="50" zoomScaleNormal="50" workbookViewId="0">
      <selection activeCell="J18" sqref="J18"/>
    </sheetView>
  </sheetViews>
  <sheetFormatPr baseColWidth="10" defaultColWidth="11.44140625" defaultRowHeight="20.100000000000001" customHeight="1" x14ac:dyDescent="0.25"/>
  <cols>
    <col min="1" max="1" width="29" style="169" customWidth="1"/>
    <col min="2" max="17" width="14.6640625" style="169" customWidth="1"/>
    <col min="18" max="22" width="14.6640625" style="199" customWidth="1"/>
    <col min="23" max="23" width="11.44140625" style="169"/>
    <col min="24" max="24" width="10.88671875" style="169" customWidth="1"/>
    <col min="25" max="16384" width="11.44140625" style="169"/>
  </cols>
  <sheetData>
    <row r="1" spans="1:33" s="202" customFormat="1" ht="76.5" customHeight="1" x14ac:dyDescent="0.4">
      <c r="A1" s="200"/>
      <c r="B1" s="201"/>
      <c r="C1" s="201"/>
      <c r="D1" s="201"/>
      <c r="E1" s="201"/>
      <c r="F1" s="201"/>
      <c r="R1" s="203"/>
      <c r="S1" s="203"/>
      <c r="T1" s="203"/>
      <c r="U1" s="203"/>
      <c r="V1" s="203"/>
    </row>
    <row r="2" spans="1:33" s="202" customFormat="1" ht="59.7" customHeight="1" x14ac:dyDescent="0.6">
      <c r="A2" s="204" t="s">
        <v>82</v>
      </c>
      <c r="B2" s="204"/>
      <c r="C2" s="204"/>
      <c r="D2" s="204"/>
      <c r="E2" s="204"/>
      <c r="F2" s="204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6"/>
      <c r="T2" s="206"/>
      <c r="U2" s="206"/>
      <c r="V2" s="206"/>
    </row>
    <row r="3" spans="1:33" s="202" customFormat="1" ht="59.7" customHeight="1" x14ac:dyDescent="0.6">
      <c r="A3" s="205" t="s">
        <v>83</v>
      </c>
      <c r="B3" s="204"/>
      <c r="C3" s="204"/>
      <c r="D3" s="204"/>
      <c r="E3" s="204"/>
      <c r="F3" s="204"/>
      <c r="G3" s="205"/>
      <c r="H3" s="204" t="s">
        <v>84</v>
      </c>
      <c r="I3" s="205"/>
      <c r="J3" s="205"/>
      <c r="K3" s="205"/>
      <c r="L3" s="205"/>
      <c r="M3" s="205"/>
      <c r="N3" s="205"/>
      <c r="O3" s="205"/>
      <c r="P3" s="205"/>
      <c r="Q3" s="204" t="s">
        <v>85</v>
      </c>
      <c r="R3" s="207"/>
      <c r="S3" s="207"/>
      <c r="T3" s="207"/>
      <c r="U3" s="207"/>
      <c r="V3" s="207"/>
      <c r="X3" s="202" t="s">
        <v>86</v>
      </c>
      <c r="Y3" s="202" t="s">
        <v>87</v>
      </c>
      <c r="Z3" s="202" t="s">
        <v>2</v>
      </c>
      <c r="AA3" s="202" t="s">
        <v>88</v>
      </c>
      <c r="AB3" s="202" t="s">
        <v>52</v>
      </c>
      <c r="AC3" s="202" t="s">
        <v>29</v>
      </c>
      <c r="AD3" s="202" t="s">
        <v>89</v>
      </c>
      <c r="AE3" s="202" t="s">
        <v>7</v>
      </c>
      <c r="AF3" s="202" t="s">
        <v>64</v>
      </c>
      <c r="AG3" s="202" t="s">
        <v>60</v>
      </c>
    </row>
    <row r="4" spans="1:33" s="202" customFormat="1" ht="59.7" customHeight="1" x14ac:dyDescent="0.6">
      <c r="A4" s="205" t="s">
        <v>195</v>
      </c>
      <c r="B4" s="205"/>
      <c r="C4" s="205"/>
      <c r="D4" s="205"/>
      <c r="E4" s="205"/>
      <c r="F4" s="205"/>
      <c r="G4" s="205"/>
      <c r="H4" s="204" t="s">
        <v>90</v>
      </c>
      <c r="I4" s="204"/>
      <c r="J4" s="204"/>
      <c r="K4" s="204"/>
      <c r="L4" s="204"/>
      <c r="M4" s="204"/>
      <c r="N4" s="205"/>
      <c r="O4" s="205"/>
      <c r="P4" s="205"/>
      <c r="Q4" s="204" t="s">
        <v>91</v>
      </c>
      <c r="R4" s="207"/>
      <c r="S4" s="207"/>
      <c r="T4" s="207"/>
      <c r="U4" s="207"/>
      <c r="V4" s="207"/>
      <c r="Z4" s="202" t="s">
        <v>92</v>
      </c>
      <c r="AB4" s="202">
        <v>0.94444444444444409</v>
      </c>
      <c r="AC4" s="202">
        <v>3.7878787878787901E-2</v>
      </c>
      <c r="AD4" s="202">
        <v>1.76767676767677E-2</v>
      </c>
      <c r="AE4" s="202">
        <v>0</v>
      </c>
      <c r="AF4" s="202">
        <v>0</v>
      </c>
      <c r="AG4" s="202">
        <v>1</v>
      </c>
    </row>
    <row r="5" spans="1:33" s="217" customFormat="1" ht="59.7" customHeight="1" thickBot="1" x14ac:dyDescent="0.65">
      <c r="A5" s="208" t="s">
        <v>2</v>
      </c>
      <c r="B5" s="209" t="s">
        <v>92</v>
      </c>
      <c r="C5" s="209" t="s">
        <v>5</v>
      </c>
      <c r="D5" s="209" t="s">
        <v>93</v>
      </c>
      <c r="E5" s="209" t="s">
        <v>94</v>
      </c>
      <c r="F5" s="209" t="s">
        <v>81</v>
      </c>
      <c r="G5" s="210" t="s">
        <v>60</v>
      </c>
      <c r="H5" s="211"/>
      <c r="I5" s="208" t="s">
        <v>88</v>
      </c>
      <c r="J5" s="209" t="s">
        <v>92</v>
      </c>
      <c r="K5" s="209" t="s">
        <v>5</v>
      </c>
      <c r="L5" s="209" t="s">
        <v>93</v>
      </c>
      <c r="M5" s="209" t="s">
        <v>94</v>
      </c>
      <c r="N5" s="212" t="s">
        <v>81</v>
      </c>
      <c r="O5" s="213"/>
      <c r="P5" s="213"/>
      <c r="Q5" s="208" t="s">
        <v>2</v>
      </c>
      <c r="R5" s="214" t="s">
        <v>92</v>
      </c>
      <c r="S5" s="214" t="s">
        <v>5</v>
      </c>
      <c r="T5" s="214" t="s">
        <v>93</v>
      </c>
      <c r="U5" s="214" t="s">
        <v>94</v>
      </c>
      <c r="V5" s="215" t="s">
        <v>81</v>
      </c>
      <c r="W5" s="216"/>
      <c r="Z5" s="217" t="s">
        <v>5</v>
      </c>
      <c r="AB5" s="217">
        <v>0</v>
      </c>
      <c r="AC5" s="217">
        <v>0.92166315155167211</v>
      </c>
      <c r="AD5" s="217">
        <v>7.8336848448327806E-3</v>
      </c>
      <c r="AE5" s="217">
        <v>0</v>
      </c>
      <c r="AF5" s="217">
        <v>7.0503163603495012E-2</v>
      </c>
      <c r="AG5" s="217">
        <v>1</v>
      </c>
    </row>
    <row r="6" spans="1:33" s="217" customFormat="1" ht="59.7" customHeight="1" x14ac:dyDescent="0.6">
      <c r="A6" s="218" t="s">
        <v>15</v>
      </c>
      <c r="B6" s="219"/>
      <c r="C6" s="219"/>
      <c r="D6" s="220"/>
      <c r="E6" s="219"/>
      <c r="F6" s="219"/>
      <c r="G6" s="221"/>
      <c r="H6" s="211"/>
      <c r="I6" s="218" t="s">
        <v>2</v>
      </c>
      <c r="J6" s="504"/>
      <c r="K6" s="505"/>
      <c r="L6" s="506"/>
      <c r="M6" s="505"/>
      <c r="N6" s="507"/>
      <c r="O6" s="213"/>
      <c r="P6" s="213"/>
      <c r="Q6" s="223" t="s">
        <v>88</v>
      </c>
      <c r="R6" s="224"/>
      <c r="S6" s="224"/>
      <c r="T6" s="225"/>
      <c r="U6" s="224"/>
      <c r="V6" s="226"/>
      <c r="W6" s="216"/>
      <c r="Z6" s="217" t="s">
        <v>93</v>
      </c>
      <c r="AB6" s="217">
        <v>0</v>
      </c>
      <c r="AC6" s="217">
        <v>1.6194331983805699E-2</v>
      </c>
      <c r="AD6" s="217">
        <v>0.97300944669365708</v>
      </c>
      <c r="AE6" s="217">
        <v>0</v>
      </c>
      <c r="AF6" s="217">
        <v>1.0796221322537099E-2</v>
      </c>
      <c r="AG6" s="217">
        <v>1</v>
      </c>
    </row>
    <row r="7" spans="1:33" s="202" customFormat="1" ht="59.7" customHeight="1" x14ac:dyDescent="0.6">
      <c r="A7" s="227" t="s">
        <v>52</v>
      </c>
      <c r="B7" s="228">
        <f>'TES Valeur étape 4 base 95'!C6</f>
        <v>107</v>
      </c>
      <c r="C7" s="228">
        <f>'TES Valeur étape 4 base 95'!D6</f>
        <v>101</v>
      </c>
      <c r="D7" s="228">
        <f>'TES Valeur étape 4 base 95'!E6</f>
        <v>11</v>
      </c>
      <c r="E7" s="228">
        <f>'TES Valeur étape 4 base 95'!F6</f>
        <v>46</v>
      </c>
      <c r="F7" s="228">
        <f>'TES Valeur étape 4 base 95'!G6</f>
        <v>42</v>
      </c>
      <c r="G7" s="229">
        <f t="shared" ref="G7:G12" si="0">SUM(B7:F7)</f>
        <v>307</v>
      </c>
      <c r="H7" s="204"/>
      <c r="I7" s="227" t="s">
        <v>52</v>
      </c>
      <c r="J7" s="508">
        <f>'matrice production'!C3/'matrice production'!$H3</f>
        <v>0.94444444444444442</v>
      </c>
      <c r="K7" s="486">
        <f>'matrice production'!D3/'matrice production'!$H3</f>
        <v>3.787878787878788E-2</v>
      </c>
      <c r="L7" s="486">
        <f>'matrice production'!E3/'matrice production'!$H3</f>
        <v>1.7676767676767676E-2</v>
      </c>
      <c r="M7" s="486">
        <f>'matrice production'!F3/'matrice production'!$H3</f>
        <v>0</v>
      </c>
      <c r="N7" s="509">
        <f>'matrice production'!G3/'matrice production'!$H3</f>
        <v>0</v>
      </c>
      <c r="O7" s="205"/>
      <c r="P7" s="205"/>
      <c r="Q7" s="218" t="s">
        <v>52</v>
      </c>
      <c r="R7" s="231">
        <f>'matrice production'!C12/'matrice production'!C$17</f>
        <v>0.94444444444444442</v>
      </c>
      <c r="S7" s="231">
        <f>'matrice production'!D12/'matrice production'!D$17</f>
        <v>0</v>
      </c>
      <c r="T7" s="231">
        <f>'matrice production'!E12/'matrice production'!E$17</f>
        <v>0</v>
      </c>
      <c r="U7" s="231">
        <f>'matrice production'!F12/'matrice production'!F$17</f>
        <v>0</v>
      </c>
      <c r="V7" s="232">
        <f>'matrice production'!G12/'matrice production'!G$17</f>
        <v>0</v>
      </c>
      <c r="W7" s="233"/>
      <c r="Z7" s="202" t="s">
        <v>94</v>
      </c>
      <c r="AB7" s="202">
        <v>0</v>
      </c>
      <c r="AC7" s="202">
        <v>0</v>
      </c>
      <c r="AD7" s="202">
        <v>0</v>
      </c>
      <c r="AE7" s="202">
        <v>0.95146520146520108</v>
      </c>
      <c r="AF7" s="202">
        <v>4.8534798534798501E-2</v>
      </c>
      <c r="AG7" s="202">
        <v>1</v>
      </c>
    </row>
    <row r="8" spans="1:33" s="202" customFormat="1" ht="59.7" customHeight="1" x14ac:dyDescent="0.6">
      <c r="A8" s="227" t="s">
        <v>29</v>
      </c>
      <c r="B8" s="503">
        <f>'TES Valeur étape 4 base 95'!C7</f>
        <v>45</v>
      </c>
      <c r="C8" s="503">
        <f>'TES Valeur étape 4 base 95'!D7</f>
        <v>1456</v>
      </c>
      <c r="D8" s="503">
        <f>'TES Valeur étape 4 base 95'!E7</f>
        <v>262</v>
      </c>
      <c r="E8" s="503">
        <f>'TES Valeur étape 4 base 95'!F7</f>
        <v>43</v>
      </c>
      <c r="F8" s="503">
        <f>'TES Valeur étape 4 base 95'!G7</f>
        <v>275</v>
      </c>
      <c r="G8" s="235">
        <f t="shared" si="0"/>
        <v>2081</v>
      </c>
      <c r="H8" s="204"/>
      <c r="I8" s="227" t="s">
        <v>29</v>
      </c>
      <c r="J8" s="510">
        <f>'matrice production'!C4/'matrice production'!$H4</f>
        <v>0</v>
      </c>
      <c r="K8" s="230">
        <f>'matrice production'!D4/'matrice production'!$H4</f>
        <v>0.92166315155167222</v>
      </c>
      <c r="L8" s="230">
        <f>'matrice production'!E4/'matrice production'!$H4</f>
        <v>7.8336848448327806E-3</v>
      </c>
      <c r="M8" s="230">
        <f>'matrice production'!F4/'matrice production'!$H4</f>
        <v>0</v>
      </c>
      <c r="N8" s="511">
        <f>'matrice production'!G4/'matrice production'!$H4</f>
        <v>7.0503163603495025E-2</v>
      </c>
      <c r="O8" s="205"/>
      <c r="P8" s="205"/>
      <c r="Q8" s="218" t="s">
        <v>29</v>
      </c>
      <c r="R8" s="231">
        <f>'matrice production'!C13/'matrice production'!C$17</f>
        <v>3.787878787878788E-2</v>
      </c>
      <c r="S8" s="231">
        <f>'matrice production'!D13/'matrice production'!D$17</f>
        <v>0.92166315155167222</v>
      </c>
      <c r="T8" s="231">
        <f>'matrice production'!E13/'matrice production'!E$17</f>
        <v>1.6194331983805668E-2</v>
      </c>
      <c r="U8" s="231">
        <f>'matrice production'!F13/'matrice production'!F$17</f>
        <v>0</v>
      </c>
      <c r="V8" s="232">
        <f>'matrice production'!G13/'matrice production'!G$17</f>
        <v>4.1322314049586778E-2</v>
      </c>
      <c r="W8" s="233"/>
      <c r="Z8" s="202" t="s">
        <v>81</v>
      </c>
      <c r="AB8" s="202">
        <v>0</v>
      </c>
      <c r="AC8" s="202">
        <v>4.1322314049586799E-2</v>
      </c>
      <c r="AD8" s="202">
        <v>6.9930069930069904E-3</v>
      </c>
      <c r="AE8" s="202">
        <v>0</v>
      </c>
      <c r="AF8" s="202">
        <v>0.95168467895740605</v>
      </c>
      <c r="AG8" s="202">
        <v>1</v>
      </c>
    </row>
    <row r="9" spans="1:33" s="202" customFormat="1" ht="59.7" customHeight="1" x14ac:dyDescent="0.6">
      <c r="A9" s="227" t="s">
        <v>89</v>
      </c>
      <c r="B9" s="503">
        <f>'TES Valeur étape 4 base 95'!C8</f>
        <v>10</v>
      </c>
      <c r="C9" s="503">
        <f>'TES Valeur étape 4 base 95'!D8</f>
        <v>4</v>
      </c>
      <c r="D9" s="503">
        <f>'TES Valeur étape 4 base 95'!E8</f>
        <v>45</v>
      </c>
      <c r="E9" s="503">
        <f>'TES Valeur étape 4 base 95'!F8</f>
        <v>2</v>
      </c>
      <c r="F9" s="503">
        <f>'TES Valeur étape 4 base 95'!G8</f>
        <v>21</v>
      </c>
      <c r="G9" s="235">
        <f t="shared" si="0"/>
        <v>82</v>
      </c>
      <c r="H9" s="204"/>
      <c r="I9" s="227" t="s">
        <v>89</v>
      </c>
      <c r="J9" s="510">
        <f>'matrice production'!C5/'matrice production'!$H5</f>
        <v>0</v>
      </c>
      <c r="K9" s="230">
        <f>'matrice production'!D5/'matrice production'!$H5</f>
        <v>1.6194331983805668E-2</v>
      </c>
      <c r="L9" s="230">
        <f>'matrice production'!E5/'matrice production'!$H5</f>
        <v>0.97300944669365719</v>
      </c>
      <c r="M9" s="230">
        <f>'matrice production'!F5/'matrice production'!$H5</f>
        <v>0</v>
      </c>
      <c r="N9" s="511">
        <f>'matrice production'!G5/'matrice production'!$H5</f>
        <v>1.0796221322537112E-2</v>
      </c>
      <c r="O9" s="205"/>
      <c r="P9" s="205"/>
      <c r="Q9" s="218" t="s">
        <v>89</v>
      </c>
      <c r="R9" s="231">
        <f>'matrice production'!C14/'matrice production'!C$17</f>
        <v>1.7676767676767676E-2</v>
      </c>
      <c r="S9" s="231">
        <f>'matrice production'!D14/'matrice production'!D$17</f>
        <v>7.8336848448327806E-3</v>
      </c>
      <c r="T9" s="231">
        <f>'matrice production'!E14/'matrice production'!E$17</f>
        <v>0.97300944669365719</v>
      </c>
      <c r="U9" s="231">
        <f>'matrice production'!F14/'matrice production'!F$17</f>
        <v>0</v>
      </c>
      <c r="V9" s="232">
        <f>'matrice production'!G14/'matrice production'!G$17</f>
        <v>6.993006993006993E-3</v>
      </c>
      <c r="W9" s="233"/>
    </row>
    <row r="10" spans="1:33" s="202" customFormat="1" ht="59.7" customHeight="1" x14ac:dyDescent="0.6">
      <c r="A10" s="218" t="s">
        <v>62</v>
      </c>
      <c r="B10" s="503">
        <f>'TES Valeur étape 4 base 95'!C9</f>
        <v>44</v>
      </c>
      <c r="C10" s="503">
        <f>'TES Valeur étape 4 base 95'!D9</f>
        <v>635</v>
      </c>
      <c r="D10" s="503">
        <f>'TES Valeur étape 4 base 95'!E9</f>
        <v>130</v>
      </c>
      <c r="E10" s="503">
        <f>'TES Valeur étape 4 base 95'!F9</f>
        <v>110</v>
      </c>
      <c r="F10" s="503">
        <f>'TES Valeur étape 4 base 95'!G9</f>
        <v>588</v>
      </c>
      <c r="G10" s="235">
        <f t="shared" si="0"/>
        <v>1507</v>
      </c>
      <c r="H10" s="204"/>
      <c r="I10" s="218" t="s">
        <v>62</v>
      </c>
      <c r="J10" s="510">
        <f>'matrice production'!C6/'matrice production'!$H6</f>
        <v>0</v>
      </c>
      <c r="K10" s="230">
        <f>'matrice production'!D6/'matrice production'!$H6</f>
        <v>0</v>
      </c>
      <c r="L10" s="230">
        <f>'matrice production'!E6/'matrice production'!$H6</f>
        <v>0</v>
      </c>
      <c r="M10" s="230">
        <f>'matrice production'!F6/'matrice production'!$H6</f>
        <v>0.95146520146520142</v>
      </c>
      <c r="N10" s="511">
        <f>'matrice production'!G6/'matrice production'!$H6</f>
        <v>4.8534798534798536E-2</v>
      </c>
      <c r="O10" s="205"/>
      <c r="P10" s="205"/>
      <c r="Q10" s="218" t="s">
        <v>7</v>
      </c>
      <c r="R10" s="231">
        <f>'matrice production'!C15/'matrice production'!C$17</f>
        <v>0</v>
      </c>
      <c r="S10" s="231">
        <f>'matrice production'!D15/'matrice production'!D$17</f>
        <v>0</v>
      </c>
      <c r="T10" s="231">
        <f>'matrice production'!E15/'matrice production'!E$17</f>
        <v>0</v>
      </c>
      <c r="U10" s="231">
        <f>'matrice production'!F15/'matrice production'!F$17</f>
        <v>0.95146520146520142</v>
      </c>
      <c r="V10" s="232">
        <f>'matrice production'!G15/'matrice production'!G$17</f>
        <v>0</v>
      </c>
      <c r="W10" s="233"/>
    </row>
    <row r="11" spans="1:33" s="202" customFormat="1" ht="59.7" customHeight="1" x14ac:dyDescent="0.6">
      <c r="A11" s="227" t="s">
        <v>64</v>
      </c>
      <c r="B11" s="503">
        <f>'TES Valeur étape 4 base 95'!C10</f>
        <v>0</v>
      </c>
      <c r="C11" s="503">
        <f>'TES Valeur étape 4 base 95'!D10</f>
        <v>0</v>
      </c>
      <c r="D11" s="503">
        <f>'TES Valeur étape 4 base 95'!E10</f>
        <v>0</v>
      </c>
      <c r="E11" s="503">
        <f>'TES Valeur étape 4 base 95'!F10</f>
        <v>0</v>
      </c>
      <c r="F11" s="503">
        <f>'TES Valeur étape 4 base 95'!G10</f>
        <v>0</v>
      </c>
      <c r="G11" s="235">
        <f t="shared" si="0"/>
        <v>0</v>
      </c>
      <c r="H11" s="204"/>
      <c r="I11" s="227" t="s">
        <v>64</v>
      </c>
      <c r="J11" s="510">
        <f>'matrice production'!C7/'matrice production'!$H7</f>
        <v>0</v>
      </c>
      <c r="K11" s="230">
        <f>'matrice production'!D7/'matrice production'!$H7</f>
        <v>4.1322314049586778E-2</v>
      </c>
      <c r="L11" s="230">
        <f>'matrice production'!E7/'matrice production'!$H7</f>
        <v>6.993006993006993E-3</v>
      </c>
      <c r="M11" s="230">
        <f>'matrice production'!F7/'matrice production'!$H7</f>
        <v>0</v>
      </c>
      <c r="N11" s="511">
        <f>'matrice production'!G7/'matrice production'!$H7</f>
        <v>0.95168467895740627</v>
      </c>
      <c r="O11" s="205"/>
      <c r="P11" s="205"/>
      <c r="Q11" s="218" t="s">
        <v>64</v>
      </c>
      <c r="R11" s="231">
        <f>'matrice production'!C16/'matrice production'!C$17</f>
        <v>0</v>
      </c>
      <c r="S11" s="231">
        <f>'matrice production'!D16/'matrice production'!D$17</f>
        <v>7.0503163603495025E-2</v>
      </c>
      <c r="T11" s="231">
        <f>'matrice production'!E16/'matrice production'!E$17</f>
        <v>1.0796221322537112E-2</v>
      </c>
      <c r="U11" s="231">
        <f>'matrice production'!F16/'matrice production'!F$17</f>
        <v>4.8534798534798536E-2</v>
      </c>
      <c r="V11" s="232">
        <f>'matrice production'!G16/'matrice production'!G$17</f>
        <v>0.95168467895740627</v>
      </c>
      <c r="W11" s="233"/>
    </row>
    <row r="12" spans="1:33" s="202" customFormat="1" ht="59.7" customHeight="1" thickBot="1" x14ac:dyDescent="0.65">
      <c r="A12" s="236" t="s">
        <v>95</v>
      </c>
      <c r="B12" s="237">
        <f>SUM(B7:B11)</f>
        <v>206</v>
      </c>
      <c r="C12" s="237">
        <f>SUM(C7:C11)</f>
        <v>2196</v>
      </c>
      <c r="D12" s="237">
        <f>SUM(D7:D11)</f>
        <v>448</v>
      </c>
      <c r="E12" s="237">
        <f>SUM(E7:E11)</f>
        <v>201</v>
      </c>
      <c r="F12" s="237">
        <f>SUM(F7:F11)</f>
        <v>926</v>
      </c>
      <c r="G12" s="238">
        <f t="shared" si="0"/>
        <v>3977</v>
      </c>
      <c r="H12" s="204"/>
      <c r="I12" s="236" t="s">
        <v>60</v>
      </c>
      <c r="J12" s="512">
        <f>SUM(J7:J11)</f>
        <v>0.94444444444444442</v>
      </c>
      <c r="K12" s="239">
        <f>SUM(K7:K11)</f>
        <v>1.0170585854638525</v>
      </c>
      <c r="L12" s="239">
        <f>SUM(L7:L11)</f>
        <v>1.0055129062082646</v>
      </c>
      <c r="M12" s="239">
        <f>SUM(M7:M11)</f>
        <v>0.95146520146520142</v>
      </c>
      <c r="N12" s="499">
        <f>SUM(N7:N11)</f>
        <v>1.081518862418237</v>
      </c>
      <c r="O12" s="205"/>
      <c r="P12" s="205"/>
      <c r="Q12" s="236" t="s">
        <v>60</v>
      </c>
      <c r="R12" s="240">
        <f>'matrice production'!C17/'matrice production'!C$17</f>
        <v>1</v>
      </c>
      <c r="S12" s="240">
        <f>'matrice production'!D17/'matrice production'!D$17</f>
        <v>1</v>
      </c>
      <c r="T12" s="240">
        <f>'matrice production'!E17/'matrice production'!E$17</f>
        <v>1</v>
      </c>
      <c r="U12" s="240">
        <f>'matrice production'!F17/'matrice production'!F$17</f>
        <v>1</v>
      </c>
      <c r="V12" s="241">
        <f>'matrice production'!G17/'matrice production'!G$17</f>
        <v>1</v>
      </c>
      <c r="W12" s="233"/>
    </row>
    <row r="13" spans="1:33" s="202" customFormat="1" ht="59.7" customHeight="1" x14ac:dyDescent="0.6">
      <c r="A13" s="242"/>
      <c r="B13" s="243"/>
      <c r="C13" s="243"/>
      <c r="D13" s="243"/>
      <c r="E13" s="243"/>
      <c r="F13" s="243"/>
      <c r="G13" s="243"/>
      <c r="H13" s="204"/>
      <c r="I13" s="242"/>
      <c r="J13" s="244"/>
      <c r="K13" s="244"/>
      <c r="L13" s="244"/>
      <c r="M13" s="244"/>
      <c r="N13" s="244"/>
      <c r="O13" s="205"/>
      <c r="P13" s="205"/>
      <c r="Q13" s="204"/>
      <c r="R13" s="207"/>
      <c r="S13" s="207"/>
      <c r="T13" s="207"/>
      <c r="U13" s="207"/>
      <c r="V13" s="207"/>
    </row>
    <row r="14" spans="1:33" s="202" customFormat="1" ht="59.7" customHeight="1" x14ac:dyDescent="0.6">
      <c r="A14" s="245" t="s">
        <v>96</v>
      </c>
      <c r="B14" s="246"/>
      <c r="C14" s="246"/>
      <c r="D14" s="246"/>
      <c r="E14" s="246"/>
      <c r="F14" s="246"/>
      <c r="G14" s="245"/>
      <c r="H14" s="205"/>
      <c r="I14" s="247" t="s">
        <v>97</v>
      </c>
      <c r="J14" s="248"/>
      <c r="K14" s="248"/>
      <c r="L14" s="248"/>
      <c r="M14" s="248"/>
      <c r="N14" s="248"/>
      <c r="O14" s="249"/>
      <c r="P14" s="205"/>
      <c r="Q14" s="204" t="s">
        <v>98</v>
      </c>
      <c r="R14" s="207"/>
      <c r="S14" s="207"/>
      <c r="T14" s="207"/>
      <c r="U14" s="207"/>
      <c r="V14" s="207"/>
      <c r="AB14" s="202" t="s">
        <v>99</v>
      </c>
    </row>
    <row r="15" spans="1:33" s="202" customFormat="1" ht="59.7" customHeight="1" x14ac:dyDescent="0.6">
      <c r="A15" s="245" t="s">
        <v>100</v>
      </c>
      <c r="B15" s="246"/>
      <c r="C15" s="246"/>
      <c r="D15" s="246"/>
      <c r="E15" s="246"/>
      <c r="F15" s="246"/>
      <c r="G15" s="245"/>
      <c r="H15" s="205"/>
      <c r="I15" s="247" t="s">
        <v>101</v>
      </c>
      <c r="J15" s="248"/>
      <c r="K15" s="248"/>
      <c r="L15" s="248"/>
      <c r="M15" s="248"/>
      <c r="N15" s="248"/>
      <c r="O15" s="249"/>
      <c r="P15" s="205"/>
      <c r="Q15" s="204"/>
      <c r="R15" s="207"/>
      <c r="S15" s="207"/>
      <c r="T15" s="207"/>
      <c r="U15" s="207"/>
      <c r="V15" s="207"/>
    </row>
    <row r="16" spans="1:33" s="202" customFormat="1" ht="59.7" customHeight="1" x14ac:dyDescent="0.6">
      <c r="A16" s="208" t="s">
        <v>88</v>
      </c>
      <c r="B16" s="209" t="s">
        <v>92</v>
      </c>
      <c r="C16" s="209" t="s">
        <v>5</v>
      </c>
      <c r="D16" s="209" t="s">
        <v>93</v>
      </c>
      <c r="E16" s="209" t="s">
        <v>94</v>
      </c>
      <c r="F16" s="209" t="s">
        <v>81</v>
      </c>
      <c r="G16" s="210" t="s">
        <v>60</v>
      </c>
      <c r="H16" s="205"/>
      <c r="I16" s="487" t="s">
        <v>2</v>
      </c>
      <c r="J16" s="488" t="s">
        <v>92</v>
      </c>
      <c r="K16" s="488" t="s">
        <v>5</v>
      </c>
      <c r="L16" s="488" t="s">
        <v>93</v>
      </c>
      <c r="M16" s="488" t="s">
        <v>94</v>
      </c>
      <c r="N16" s="488" t="s">
        <v>81</v>
      </c>
      <c r="O16" s="489" t="s">
        <v>60</v>
      </c>
      <c r="P16" s="205"/>
      <c r="Q16" s="250" t="s">
        <v>2</v>
      </c>
      <c r="R16" s="214" t="s">
        <v>92</v>
      </c>
      <c r="S16" s="214" t="s">
        <v>5</v>
      </c>
      <c r="T16" s="214" t="s">
        <v>93</v>
      </c>
      <c r="U16" s="214" t="s">
        <v>94</v>
      </c>
      <c r="V16" s="215" t="s">
        <v>81</v>
      </c>
      <c r="W16" s="251"/>
      <c r="Z16" s="202" t="s">
        <v>88</v>
      </c>
      <c r="AA16" s="202" t="s">
        <v>92</v>
      </c>
      <c r="AB16" s="202" t="s">
        <v>5</v>
      </c>
      <c r="AC16" s="202" t="s">
        <v>93</v>
      </c>
      <c r="AD16" s="202" t="s">
        <v>94</v>
      </c>
      <c r="AE16" s="202" t="s">
        <v>81</v>
      </c>
      <c r="AF16" s="202" t="s">
        <v>60</v>
      </c>
    </row>
    <row r="17" spans="1:32" s="202" customFormat="1" ht="59.7" customHeight="1" x14ac:dyDescent="0.6">
      <c r="A17" s="227" t="s">
        <v>15</v>
      </c>
      <c r="B17" s="219"/>
      <c r="C17" s="219"/>
      <c r="D17" s="220"/>
      <c r="E17" s="219"/>
      <c r="F17" s="219"/>
      <c r="G17" s="252"/>
      <c r="H17" s="205"/>
      <c r="I17" s="490" t="s">
        <v>15</v>
      </c>
      <c r="J17" s="491"/>
      <c r="K17" s="491"/>
      <c r="L17" s="492"/>
      <c r="M17" s="491"/>
      <c r="N17" s="491"/>
      <c r="O17" s="493"/>
      <c r="P17" s="205"/>
      <c r="Q17" s="253" t="s">
        <v>88</v>
      </c>
      <c r="R17" s="254"/>
      <c r="S17" s="254"/>
      <c r="T17" s="254"/>
      <c r="U17" s="254"/>
      <c r="V17" s="255"/>
      <c r="W17" s="251"/>
      <c r="Z17" s="202" t="s">
        <v>15</v>
      </c>
    </row>
    <row r="18" spans="1:32" s="202" customFormat="1" ht="59.7" customHeight="1" x14ac:dyDescent="0.6">
      <c r="A18" s="227" t="s">
        <v>52</v>
      </c>
      <c r="B18" s="228">
        <f t="array" ref="B18:F22">MMULT(B7:F11,J7:N11)</f>
        <v>101.05555555555556</v>
      </c>
      <c r="C18" s="228">
        <v>99.054683451653688</v>
      </c>
      <c r="D18" s="228">
        <v>13.679426518078776</v>
      </c>
      <c r="E18" s="228">
        <v>43.767399267399263</v>
      </c>
      <c r="F18" s="228">
        <v>49.442935207312701</v>
      </c>
      <c r="G18" s="229">
        <f t="shared" ref="G18:G23" si="1">SUM(B18:F18)</f>
        <v>307</v>
      </c>
      <c r="H18" s="205"/>
      <c r="I18" s="490" t="s">
        <v>52</v>
      </c>
      <c r="J18" s="494">
        <f>J32</f>
        <v>107</v>
      </c>
      <c r="K18" s="494">
        <f>K32</f>
        <v>101</v>
      </c>
      <c r="L18" s="494">
        <f>L32</f>
        <v>11</v>
      </c>
      <c r="M18" s="494">
        <f>M32</f>
        <v>46</v>
      </c>
      <c r="N18" s="494">
        <f>N32</f>
        <v>42</v>
      </c>
      <c r="O18" s="495">
        <f t="shared" ref="O18:O23" si="2">SUM(J18:N18)</f>
        <v>307</v>
      </c>
      <c r="P18" s="205"/>
      <c r="Q18" s="218" t="s">
        <v>52</v>
      </c>
      <c r="R18" s="231">
        <f>2-R7</f>
        <v>1.0555555555555556</v>
      </c>
      <c r="S18" s="231">
        <f>-S7</f>
        <v>0</v>
      </c>
      <c r="T18" s="231">
        <f>-T7</f>
        <v>0</v>
      </c>
      <c r="U18" s="231">
        <f>-U7</f>
        <v>0</v>
      </c>
      <c r="V18" s="232">
        <f>-V7</f>
        <v>0</v>
      </c>
      <c r="W18" s="251"/>
      <c r="Z18" s="202" t="s">
        <v>52</v>
      </c>
      <c r="AA18" s="256">
        <f t="array" ref="AA18:AE22">MMULT(J18:N22,AB4:AF8)</f>
        <v>101.05555555555551</v>
      </c>
      <c r="AB18" s="256">
        <v>99.054683451653688</v>
      </c>
      <c r="AC18" s="256">
        <v>13.679426518078776</v>
      </c>
      <c r="AD18" s="256">
        <v>43.767399267399249</v>
      </c>
      <c r="AE18" s="256">
        <v>49.442935207312686</v>
      </c>
      <c r="AF18" s="256">
        <f>SUM(AA18:AE18)</f>
        <v>306.99999999999994</v>
      </c>
    </row>
    <row r="19" spans="1:32" s="202" customFormat="1" ht="59.7" customHeight="1" x14ac:dyDescent="0.6">
      <c r="A19" s="227" t="s">
        <v>29</v>
      </c>
      <c r="B19" s="257">
        <v>42.5</v>
      </c>
      <c r="C19" s="257">
        <v>1359.2526454571737</v>
      </c>
      <c r="D19" s="257">
        <v>269.05285163634613</v>
      </c>
      <c r="E19" s="257">
        <v>40.913003663003664</v>
      </c>
      <c r="F19" s="257">
        <v>369.28149924347656</v>
      </c>
      <c r="G19" s="258">
        <f t="shared" si="1"/>
        <v>2081</v>
      </c>
      <c r="H19" s="205"/>
      <c r="I19" s="490" t="s">
        <v>29</v>
      </c>
      <c r="J19" s="494">
        <f>J33+J$38*(J33/(J$37-J$32))</f>
        <v>47.316110991850216</v>
      </c>
      <c r="K19" s="494">
        <f>ROUND(K33+K$38*(K33/(K$37-K$32)),0)</f>
        <v>1470</v>
      </c>
      <c r="L19" s="494">
        <f>ROUND(L33+L$38*(L33/(L$37-L$32)),0)-1</f>
        <v>259</v>
      </c>
      <c r="M19" s="494">
        <f t="shared" ref="M19:N22" si="3">ROUND(M33+M$38*(M33/(M$37-M$32)),0)</f>
        <v>43</v>
      </c>
      <c r="N19" s="494">
        <f t="shared" si="3"/>
        <v>278</v>
      </c>
      <c r="O19" s="495">
        <f t="shared" si="2"/>
        <v>2097.3161109918501</v>
      </c>
      <c r="P19" s="205"/>
      <c r="Q19" s="218" t="s">
        <v>29</v>
      </c>
      <c r="R19" s="231">
        <f>-R8</f>
        <v>-3.787878787878788E-2</v>
      </c>
      <c r="S19" s="231">
        <f>2-S8</f>
        <v>1.0783368484483278</v>
      </c>
      <c r="T19" s="231">
        <f>-T8</f>
        <v>-1.6194331983805668E-2</v>
      </c>
      <c r="U19" s="231">
        <f>-U8</f>
        <v>0</v>
      </c>
      <c r="V19" s="232">
        <f>-V8</f>
        <v>-4.1322314049586778E-2</v>
      </c>
      <c r="W19" s="251"/>
      <c r="Z19" s="202" t="s">
        <v>29</v>
      </c>
      <c r="AA19" s="256">
        <v>44.687438158969634</v>
      </c>
      <c r="AB19" s="256">
        <v>1372.3190450020581</v>
      </c>
      <c r="AC19" s="256">
        <v>266.30541526098841</v>
      </c>
      <c r="AD19" s="256">
        <v>40.91300366300365</v>
      </c>
      <c r="AE19" s="256">
        <v>373.09120890682999</v>
      </c>
      <c r="AF19" s="256">
        <f>SUM(AA19:AE19)</f>
        <v>2097.3161109918497</v>
      </c>
    </row>
    <row r="20" spans="1:32" s="202" customFormat="1" ht="59.7" customHeight="1" x14ac:dyDescent="0.6">
      <c r="A20" s="227" t="s">
        <v>89</v>
      </c>
      <c r="B20" s="257">
        <v>9.4444444444444446</v>
      </c>
      <c r="C20" s="257">
        <v>5.6619540193071458</v>
      </c>
      <c r="D20" s="257">
        <v>44.140380664214725</v>
      </c>
      <c r="E20" s="257">
        <v>1.9029304029304028</v>
      </c>
      <c r="F20" s="257">
        <v>20.850290469103278</v>
      </c>
      <c r="G20" s="258">
        <f t="shared" si="1"/>
        <v>82</v>
      </c>
      <c r="H20" s="205"/>
      <c r="I20" s="490" t="s">
        <v>89</v>
      </c>
      <c r="J20" s="494">
        <f>J34+J$38*(J34/(J$37-J$32))</f>
        <v>10.51469133152227</v>
      </c>
      <c r="K20" s="494">
        <f>ROUND(K34+K$38*(K34/(K$37-K$32)),0)</f>
        <v>4</v>
      </c>
      <c r="L20" s="494">
        <f>ROUND(L34+L$38*(L34/(L$37-L$32)),0)</f>
        <v>45</v>
      </c>
      <c r="M20" s="494">
        <f t="shared" si="3"/>
        <v>2</v>
      </c>
      <c r="N20" s="494">
        <f t="shared" si="3"/>
        <v>21</v>
      </c>
      <c r="O20" s="495">
        <f t="shared" si="2"/>
        <v>82.514691331522272</v>
      </c>
      <c r="P20" s="205"/>
      <c r="Q20" s="218" t="s">
        <v>89</v>
      </c>
      <c r="R20" s="231">
        <f>-R9</f>
        <v>-1.7676767676767676E-2</v>
      </c>
      <c r="S20" s="231">
        <f>-S9</f>
        <v>-7.8336848448327806E-3</v>
      </c>
      <c r="T20" s="231">
        <f>2-T9</f>
        <v>1.0269905533063428</v>
      </c>
      <c r="U20" s="231">
        <f>-U9</f>
        <v>0</v>
      </c>
      <c r="V20" s="232">
        <f>-V9</f>
        <v>-6.993006993006993E-3</v>
      </c>
      <c r="W20" s="251"/>
      <c r="Z20" s="202" t="s">
        <v>89</v>
      </c>
      <c r="AA20" s="256">
        <v>9.9305418131043623</v>
      </c>
      <c r="AB20" s="256">
        <v>5.6814499030769294</v>
      </c>
      <c r="AC20" s="256">
        <v>44.149478743307291</v>
      </c>
      <c r="AD20" s="256">
        <v>1.9029304029304022</v>
      </c>
      <c r="AE20" s="256">
        <v>20.850290469103275</v>
      </c>
      <c r="AF20" s="256">
        <f>SUM(AA20:AE20)</f>
        <v>82.514691331522258</v>
      </c>
    </row>
    <row r="21" spans="1:32" s="202" customFormat="1" ht="59.7" customHeight="1" x14ac:dyDescent="0.6">
      <c r="A21" s="218" t="s">
        <v>62</v>
      </c>
      <c r="B21" s="257">
        <v>41.555555555555557</v>
      </c>
      <c r="C21" s="257">
        <v>613.32555172103025</v>
      </c>
      <c r="D21" s="257">
        <v>136.35528383631015</v>
      </c>
      <c r="E21" s="257">
        <v>104.66117216117216</v>
      </c>
      <c r="F21" s="257">
        <v>611.10243672593185</v>
      </c>
      <c r="G21" s="258">
        <f t="shared" si="1"/>
        <v>1507</v>
      </c>
      <c r="H21" s="205"/>
      <c r="I21" s="490" t="s">
        <v>62</v>
      </c>
      <c r="J21" s="494">
        <f>J35+J$38*(J35/(J$37-J$32))</f>
        <v>0</v>
      </c>
      <c r="K21" s="494">
        <f>ROUND(K35+K$38*(K35/(K$37-K$32)),0)</f>
        <v>0</v>
      </c>
      <c r="L21" s="494">
        <f>ROUND(L35+L$38*(L35/(L$37-L$32)),0)</f>
        <v>0</v>
      </c>
      <c r="M21" s="494">
        <f t="shared" si="3"/>
        <v>0</v>
      </c>
      <c r="N21" s="494">
        <f t="shared" si="3"/>
        <v>0</v>
      </c>
      <c r="O21" s="495">
        <f t="shared" si="2"/>
        <v>0</v>
      </c>
      <c r="P21" s="205"/>
      <c r="Q21" s="218" t="s">
        <v>7</v>
      </c>
      <c r="R21" s="231">
        <f>-R10</f>
        <v>0</v>
      </c>
      <c r="S21" s="231">
        <f>-S10</f>
        <v>0</v>
      </c>
      <c r="T21" s="231">
        <f>-T10</f>
        <v>0</v>
      </c>
      <c r="U21" s="231">
        <f>2-U10</f>
        <v>1.0485347985347986</v>
      </c>
      <c r="V21" s="232">
        <f>-V10</f>
        <v>0</v>
      </c>
      <c r="Z21" s="202" t="s">
        <v>62</v>
      </c>
      <c r="AA21" s="256">
        <v>0</v>
      </c>
      <c r="AB21" s="256">
        <v>0</v>
      </c>
      <c r="AC21" s="256">
        <v>0</v>
      </c>
      <c r="AD21" s="256">
        <v>0</v>
      </c>
      <c r="AE21" s="256">
        <v>0</v>
      </c>
      <c r="AF21" s="256">
        <f>SUM(AA21:AE21)</f>
        <v>0</v>
      </c>
    </row>
    <row r="22" spans="1:32" s="202" customFormat="1" ht="59.7" customHeight="1" x14ac:dyDescent="0.6">
      <c r="A22" s="227" t="s">
        <v>64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8">
        <f t="shared" si="1"/>
        <v>0</v>
      </c>
      <c r="H22" s="205"/>
      <c r="I22" s="490" t="s">
        <v>64</v>
      </c>
      <c r="J22" s="494">
        <f>J36+J$38*(J36/(J$37-J$32))</f>
        <v>46.264641858697992</v>
      </c>
      <c r="K22" s="494">
        <f>ROUND(K36+K$38*(K36/(K$37-K$32)),0)</f>
        <v>641</v>
      </c>
      <c r="L22" s="494">
        <f>ROUND(L36+L$38*(L36/(L$37-L$32)),0)</f>
        <v>129</v>
      </c>
      <c r="M22" s="494">
        <f t="shared" si="3"/>
        <v>109</v>
      </c>
      <c r="N22" s="494">
        <f t="shared" si="3"/>
        <v>594</v>
      </c>
      <c r="O22" s="495">
        <f t="shared" si="2"/>
        <v>1519.264641858698</v>
      </c>
      <c r="P22" s="205"/>
      <c r="Q22" s="218" t="s">
        <v>64</v>
      </c>
      <c r="R22" s="231">
        <f>-R11</f>
        <v>0</v>
      </c>
      <c r="S22" s="231">
        <f>-S11</f>
        <v>-7.0503163603495025E-2</v>
      </c>
      <c r="T22" s="231">
        <f>-T11</f>
        <v>-1.0796221322537112E-2</v>
      </c>
      <c r="U22" s="231">
        <f>-U11</f>
        <v>-4.8534798534798536E-2</v>
      </c>
      <c r="V22" s="232">
        <f>2-V11</f>
        <v>1.0483153210425937</v>
      </c>
      <c r="Z22" s="202" t="s">
        <v>64</v>
      </c>
      <c r="AA22" s="256">
        <v>43.6943839776592</v>
      </c>
      <c r="AB22" s="256">
        <v>619.17305207124093</v>
      </c>
      <c r="AC22" s="256">
        <v>135.51126608865079</v>
      </c>
      <c r="AD22" s="256">
        <v>103.70970695970692</v>
      </c>
      <c r="AE22" s="256">
        <v>617.17623276143979</v>
      </c>
      <c r="AF22" s="256">
        <f>SUM(AA22:AE22)</f>
        <v>1519.2646418586978</v>
      </c>
    </row>
    <row r="23" spans="1:32" s="202" customFormat="1" ht="59.7" customHeight="1" x14ac:dyDescent="0.6">
      <c r="A23" s="218" t="s">
        <v>33</v>
      </c>
      <c r="B23" s="234">
        <f>SUM(B18:B22)</f>
        <v>194.55555555555554</v>
      </c>
      <c r="C23" s="234">
        <f>SUM(C18:C22)</f>
        <v>2077.2948346491648</v>
      </c>
      <c r="D23" s="234">
        <f>SUM(D18:D22)</f>
        <v>463.2279426549498</v>
      </c>
      <c r="E23" s="234">
        <f>SUM(E18:E22)</f>
        <v>191.24450549450549</v>
      </c>
      <c r="F23" s="234">
        <f>SUM(F18:F22)</f>
        <v>1050.6771616458245</v>
      </c>
      <c r="G23" s="258">
        <f t="shared" si="1"/>
        <v>3977.0000000000005</v>
      </c>
      <c r="H23" s="205"/>
      <c r="I23" s="490" t="s">
        <v>33</v>
      </c>
      <c r="J23" s="494">
        <f>SUM(J18:J22)</f>
        <v>211.09544418207048</v>
      </c>
      <c r="K23" s="494">
        <f>SUM(K18:K22)</f>
        <v>2216</v>
      </c>
      <c r="L23" s="494">
        <f>SUM(L18:L22)</f>
        <v>444</v>
      </c>
      <c r="M23" s="494">
        <f>SUM(M18:M22)</f>
        <v>200</v>
      </c>
      <c r="N23" s="494">
        <f>SUM(N18:N22)</f>
        <v>935</v>
      </c>
      <c r="O23" s="495">
        <f t="shared" si="2"/>
        <v>4006.0954441820704</v>
      </c>
      <c r="P23" s="205"/>
      <c r="Q23" s="236" t="s">
        <v>60</v>
      </c>
      <c r="R23" s="240">
        <v>1</v>
      </c>
      <c r="S23" s="240">
        <v>1</v>
      </c>
      <c r="T23" s="240">
        <v>1</v>
      </c>
      <c r="U23" s="240">
        <v>1</v>
      </c>
      <c r="V23" s="241">
        <v>1</v>
      </c>
      <c r="Z23" s="202" t="s">
        <v>33</v>
      </c>
      <c r="AA23" s="256">
        <f t="shared" ref="AA23:AF23" si="4">SUM(AA18:AA22)</f>
        <v>199.36791950528868</v>
      </c>
      <c r="AB23" s="256">
        <f t="shared" si="4"/>
        <v>2096.2282304280297</v>
      </c>
      <c r="AC23" s="256">
        <f t="shared" si="4"/>
        <v>459.64558661102524</v>
      </c>
      <c r="AD23" s="256">
        <f t="shared" si="4"/>
        <v>190.29304029304024</v>
      </c>
      <c r="AE23" s="256">
        <f t="shared" si="4"/>
        <v>1060.5606673446857</v>
      </c>
      <c r="AF23" s="256">
        <f t="shared" si="4"/>
        <v>4006.0954441820695</v>
      </c>
    </row>
    <row r="24" spans="1:32" s="202" customFormat="1" ht="59.7" customHeight="1" x14ac:dyDescent="0.6">
      <c r="A24" s="259" t="s">
        <v>193</v>
      </c>
      <c r="B24" s="514">
        <f t="shared" ref="B24:G24" si="5">B38</f>
        <v>200</v>
      </c>
      <c r="C24" s="514">
        <f t="shared" si="5"/>
        <v>2096</v>
      </c>
      <c r="D24" s="514">
        <f t="shared" si="5"/>
        <v>460</v>
      </c>
      <c r="E24" s="514">
        <f t="shared" si="5"/>
        <v>190</v>
      </c>
      <c r="F24" s="514">
        <f t="shared" si="5"/>
        <v>1060</v>
      </c>
      <c r="G24" s="514">
        <f t="shared" si="5"/>
        <v>4006</v>
      </c>
      <c r="H24" s="205"/>
      <c r="I24" s="490"/>
      <c r="J24" s="494"/>
      <c r="K24" s="494"/>
      <c r="L24" s="494"/>
      <c r="M24" s="494"/>
      <c r="N24" s="494"/>
      <c r="O24" s="495"/>
      <c r="P24" s="205"/>
      <c r="Q24" s="204" t="s">
        <v>102</v>
      </c>
      <c r="R24" s="207"/>
      <c r="S24" s="207"/>
      <c r="T24" s="207"/>
      <c r="U24" s="207"/>
      <c r="V24" s="207"/>
      <c r="Z24" s="202" t="s">
        <v>103</v>
      </c>
      <c r="AA24" s="256">
        <v>200</v>
      </c>
      <c r="AB24" s="256">
        <v>2096</v>
      </c>
      <c r="AC24" s="256">
        <v>460</v>
      </c>
      <c r="AD24" s="256">
        <v>190</v>
      </c>
      <c r="AE24" s="256">
        <v>1060</v>
      </c>
      <c r="AF24" s="256">
        <v>4006</v>
      </c>
    </row>
    <row r="25" spans="1:32" s="202" customFormat="1" ht="59.7" customHeight="1" x14ac:dyDescent="0.6">
      <c r="A25" s="260" t="s">
        <v>104</v>
      </c>
      <c r="B25" s="261">
        <f t="shared" ref="B25:G25" si="6">B24-B23</f>
        <v>5.4444444444444571</v>
      </c>
      <c r="C25" s="261">
        <f t="shared" si="6"/>
        <v>18.705165350835159</v>
      </c>
      <c r="D25" s="261">
        <f t="shared" si="6"/>
        <v>-3.2279426549497998</v>
      </c>
      <c r="E25" s="261">
        <f t="shared" si="6"/>
        <v>-1.2445054945054892</v>
      </c>
      <c r="F25" s="261">
        <f t="shared" si="6"/>
        <v>9.3228383541754738</v>
      </c>
      <c r="G25" s="262">
        <f t="shared" si="6"/>
        <v>28.999999999999545</v>
      </c>
      <c r="H25" s="205"/>
      <c r="I25" s="496" t="s">
        <v>33</v>
      </c>
      <c r="J25" s="497">
        <f t="shared" ref="J25:O25" si="7">ROUND(J39,0)</f>
        <v>211</v>
      </c>
      <c r="K25" s="498">
        <f t="shared" si="7"/>
        <v>2216</v>
      </c>
      <c r="L25" s="498">
        <f t="shared" si="7"/>
        <v>444</v>
      </c>
      <c r="M25" s="498">
        <f t="shared" si="7"/>
        <v>199</v>
      </c>
      <c r="N25" s="498">
        <f t="shared" si="7"/>
        <v>935</v>
      </c>
      <c r="O25" s="500">
        <f t="shared" si="7"/>
        <v>4005</v>
      </c>
      <c r="P25" s="205"/>
      <c r="Q25" s="204" t="s">
        <v>105</v>
      </c>
      <c r="R25" s="207"/>
      <c r="S25" s="207"/>
      <c r="T25" s="207"/>
      <c r="U25" s="207"/>
      <c r="V25" s="207"/>
    </row>
    <row r="26" spans="1:32" s="202" customFormat="1" ht="59.7" customHeight="1" x14ac:dyDescent="0.6">
      <c r="A26" s="205"/>
      <c r="B26" s="205"/>
      <c r="C26" s="243"/>
      <c r="D26" s="246"/>
      <c r="E26" s="243"/>
      <c r="F26" s="243"/>
      <c r="G26" s="205"/>
      <c r="H26" s="205"/>
      <c r="I26" s="242"/>
      <c r="J26" s="243"/>
      <c r="K26" s="243"/>
      <c r="L26" s="243"/>
      <c r="M26" s="243"/>
      <c r="N26" s="243"/>
      <c r="O26" s="243"/>
      <c r="P26" s="243"/>
      <c r="Q26" s="204"/>
      <c r="R26" s="207"/>
      <c r="S26" s="207"/>
      <c r="T26" s="207"/>
      <c r="U26" s="207"/>
      <c r="V26" s="207"/>
    </row>
    <row r="27" spans="1:32" s="202" customFormat="1" ht="59.7" customHeight="1" x14ac:dyDescent="0.6">
      <c r="A27" s="205"/>
      <c r="B27" s="243"/>
      <c r="C27" s="243"/>
      <c r="D27" s="246"/>
      <c r="E27" s="243"/>
      <c r="F27" s="243"/>
      <c r="G27" s="205"/>
      <c r="H27" s="205"/>
      <c r="I27" s="205"/>
      <c r="J27" s="264"/>
      <c r="K27" s="264"/>
      <c r="L27" s="264"/>
      <c r="M27" s="264"/>
      <c r="N27" s="264"/>
      <c r="O27" s="264"/>
      <c r="P27" s="205"/>
      <c r="Q27" s="249" t="s">
        <v>106</v>
      </c>
      <c r="R27" s="265"/>
      <c r="S27" s="265"/>
      <c r="T27" s="265"/>
      <c r="U27" s="265"/>
      <c r="V27" s="265"/>
      <c r="X27" s="266">
        <f>C24/C12</f>
        <v>0.95446265938069219</v>
      </c>
    </row>
    <row r="28" spans="1:32" s="202" customFormat="1" ht="59.7" customHeight="1" x14ac:dyDescent="0.6">
      <c r="A28" s="204" t="s">
        <v>194</v>
      </c>
      <c r="B28" s="204"/>
      <c r="C28" s="204"/>
      <c r="D28" s="204"/>
      <c r="E28" s="204"/>
      <c r="F28" s="204"/>
      <c r="G28" s="204"/>
      <c r="H28" s="205"/>
      <c r="I28" s="205"/>
      <c r="J28" s="205" t="s">
        <v>107</v>
      </c>
      <c r="K28" s="205"/>
      <c r="L28" s="205"/>
      <c r="M28" s="205"/>
      <c r="N28" s="205"/>
      <c r="O28" s="205"/>
      <c r="P28" s="205"/>
      <c r="Q28" s="249" t="s">
        <v>108</v>
      </c>
      <c r="R28" s="265"/>
      <c r="S28" s="265"/>
      <c r="T28" s="265"/>
      <c r="U28" s="265"/>
      <c r="V28" s="265"/>
      <c r="X28" s="266"/>
    </row>
    <row r="29" spans="1:32" s="202" customFormat="1" ht="59.7" customHeight="1" x14ac:dyDescent="0.6">
      <c r="A29" s="242" t="s">
        <v>109</v>
      </c>
      <c r="B29" s="243"/>
      <c r="C29" s="243"/>
      <c r="D29" s="243"/>
      <c r="E29" s="243"/>
      <c r="F29" s="243"/>
      <c r="G29" s="242"/>
      <c r="H29" s="205"/>
      <c r="I29" s="205"/>
      <c r="J29" s="205"/>
      <c r="K29" s="205"/>
      <c r="L29" s="205"/>
      <c r="M29" s="205"/>
      <c r="N29" s="205"/>
      <c r="O29" s="205"/>
      <c r="P29" s="205"/>
      <c r="Q29" s="267" t="s">
        <v>2</v>
      </c>
      <c r="R29" s="268" t="s">
        <v>92</v>
      </c>
      <c r="S29" s="268" t="s">
        <v>5</v>
      </c>
      <c r="T29" s="268" t="s">
        <v>93</v>
      </c>
      <c r="U29" s="268" t="s">
        <v>94</v>
      </c>
      <c r="V29" s="269" t="s">
        <v>81</v>
      </c>
    </row>
    <row r="30" spans="1:32" s="202" customFormat="1" ht="59.7" customHeight="1" x14ac:dyDescent="0.6">
      <c r="A30" s="208" t="s">
        <v>88</v>
      </c>
      <c r="B30" s="209" t="s">
        <v>92</v>
      </c>
      <c r="C30" s="209" t="s">
        <v>5</v>
      </c>
      <c r="D30" s="209" t="s">
        <v>93</v>
      </c>
      <c r="E30" s="209" t="s">
        <v>94</v>
      </c>
      <c r="F30" s="209" t="s">
        <v>81</v>
      </c>
      <c r="G30" s="210" t="s">
        <v>60</v>
      </c>
      <c r="H30" s="205"/>
      <c r="I30" s="270" t="s">
        <v>2</v>
      </c>
      <c r="J30" s="209" t="s">
        <v>92</v>
      </c>
      <c r="K30" s="209" t="s">
        <v>5</v>
      </c>
      <c r="L30" s="209" t="s">
        <v>93</v>
      </c>
      <c r="M30" s="209" t="s">
        <v>94</v>
      </c>
      <c r="N30" s="209" t="s">
        <v>81</v>
      </c>
      <c r="O30" s="210" t="s">
        <v>60</v>
      </c>
      <c r="P30" s="205"/>
      <c r="Q30" s="263" t="s">
        <v>60</v>
      </c>
      <c r="R30" s="271">
        <f t="array" ref="R30:V30">MMULT(B25:F25,R18:V22)</f>
        <v>5.0954441820704659</v>
      </c>
      <c r="S30" s="271">
        <v>19.538466141847145</v>
      </c>
      <c r="T30" s="271">
        <v>-3.7186356969773593</v>
      </c>
      <c r="U30" s="271">
        <v>-1.7573893992491623</v>
      </c>
      <c r="V30" s="272">
        <v>9.0229065908680983</v>
      </c>
      <c r="X30" s="203">
        <f>SUM(R30:V30)</f>
        <v>28.180791818559186</v>
      </c>
    </row>
    <row r="31" spans="1:32" s="202" customFormat="1" ht="59.7" customHeight="1" x14ac:dyDescent="0.6">
      <c r="A31" s="218" t="s">
        <v>15</v>
      </c>
      <c r="B31" s="219"/>
      <c r="C31" s="219"/>
      <c r="D31" s="219"/>
      <c r="E31" s="219"/>
      <c r="F31" s="219"/>
      <c r="G31" s="222"/>
      <c r="H31" s="205"/>
      <c r="I31" s="227" t="s">
        <v>15</v>
      </c>
      <c r="J31" s="219"/>
      <c r="K31" s="219"/>
      <c r="L31" s="220"/>
      <c r="M31" s="219"/>
      <c r="N31" s="219"/>
      <c r="O31" s="252"/>
      <c r="P31" s="205"/>
      <c r="Q31" s="205"/>
      <c r="R31" s="206"/>
      <c r="S31" s="206"/>
      <c r="T31" s="206"/>
      <c r="U31" s="206"/>
      <c r="V31" s="206"/>
    </row>
    <row r="32" spans="1:32" s="202" customFormat="1" ht="59.7" customHeight="1" x14ac:dyDescent="0.6">
      <c r="A32" s="218" t="s">
        <v>52</v>
      </c>
      <c r="B32" s="234">
        <f t="array" ref="B32:F36">MMULT(J18:N22,R35:V39)</f>
        <v>101.05555555555556</v>
      </c>
      <c r="C32" s="234">
        <v>99.054683451653688</v>
      </c>
      <c r="D32" s="234">
        <v>13.679426518078776</v>
      </c>
      <c r="E32" s="234">
        <v>43.767399267399263</v>
      </c>
      <c r="F32" s="234">
        <v>49.442935207312701</v>
      </c>
      <c r="G32" s="235">
        <f t="shared" ref="G32:G38" si="8">SUM(B32:F32)</f>
        <v>307</v>
      </c>
      <c r="H32" s="205"/>
      <c r="I32" s="227" t="s">
        <v>52</v>
      </c>
      <c r="J32" s="234">
        <f>'TES Valeur étape 4 base 95'!C6</f>
        <v>107</v>
      </c>
      <c r="K32" s="234">
        <f>'TES Valeur étape 4 base 95'!D6</f>
        <v>101</v>
      </c>
      <c r="L32" s="234">
        <f>'TES Valeur étape 4 base 95'!E6</f>
        <v>11</v>
      </c>
      <c r="M32" s="234">
        <f>'TES Valeur étape 4 base 95'!F6</f>
        <v>46</v>
      </c>
      <c r="N32" s="234">
        <f>'TES Valeur étape 4 base 95'!G6</f>
        <v>42</v>
      </c>
      <c r="O32" s="235">
        <f t="shared" ref="O32:O37" si="9">SUM(J32:N32)</f>
        <v>307</v>
      </c>
      <c r="P32" s="205"/>
      <c r="Q32" s="204" t="s">
        <v>110</v>
      </c>
      <c r="R32" s="207"/>
      <c r="S32" s="207"/>
      <c r="T32" s="207"/>
      <c r="U32" s="207"/>
      <c r="V32" s="273"/>
      <c r="W32" s="203"/>
    </row>
    <row r="33" spans="1:23" s="202" customFormat="1" ht="59.7" customHeight="1" x14ac:dyDescent="0.6">
      <c r="A33" s="218" t="s">
        <v>29</v>
      </c>
      <c r="B33" s="234">
        <v>44.687438158969648</v>
      </c>
      <c r="C33" s="234">
        <v>1372.3190450020581</v>
      </c>
      <c r="D33" s="234">
        <v>266.30541526098847</v>
      </c>
      <c r="E33" s="234">
        <v>40.913003663003664</v>
      </c>
      <c r="F33" s="234">
        <v>373.09120890683005</v>
      </c>
      <c r="G33" s="235">
        <f t="shared" si="8"/>
        <v>2097.3161109918497</v>
      </c>
      <c r="H33" s="205"/>
      <c r="I33" s="227" t="s">
        <v>29</v>
      </c>
      <c r="J33" s="234">
        <f>'TES Valeur étape 4 base 95'!C7</f>
        <v>45</v>
      </c>
      <c r="K33" s="234">
        <f>'TES Valeur étape 4 base 95'!D7</f>
        <v>1456</v>
      </c>
      <c r="L33" s="234">
        <f>'TES Valeur étape 4 base 95'!E7</f>
        <v>262</v>
      </c>
      <c r="M33" s="234">
        <f>'TES Valeur étape 4 base 95'!F7</f>
        <v>43</v>
      </c>
      <c r="N33" s="234">
        <f>'TES Valeur étape 4 base 95'!G7</f>
        <v>275</v>
      </c>
      <c r="O33" s="235">
        <f t="shared" si="9"/>
        <v>2081</v>
      </c>
      <c r="P33" s="205"/>
      <c r="Q33" s="208" t="s">
        <v>88</v>
      </c>
      <c r="R33" s="274"/>
      <c r="S33" s="274"/>
      <c r="T33" s="274"/>
      <c r="U33" s="274"/>
      <c r="V33" s="275"/>
      <c r="W33" s="203"/>
    </row>
    <row r="34" spans="1:23" s="202" customFormat="1" ht="59.7" customHeight="1" x14ac:dyDescent="0.6">
      <c r="A34" s="218" t="s">
        <v>89</v>
      </c>
      <c r="B34" s="234">
        <v>9.9305418131043659</v>
      </c>
      <c r="C34" s="234">
        <v>5.6814499030769277</v>
      </c>
      <c r="D34" s="234">
        <v>44.149478743307291</v>
      </c>
      <c r="E34" s="234">
        <v>1.9029304029304028</v>
      </c>
      <c r="F34" s="234">
        <v>20.850290469103278</v>
      </c>
      <c r="G34" s="235">
        <f t="shared" si="8"/>
        <v>82.514691331522272</v>
      </c>
      <c r="H34" s="205"/>
      <c r="I34" s="227" t="s">
        <v>89</v>
      </c>
      <c r="J34" s="234">
        <f>'TES Valeur étape 4 base 95'!C8</f>
        <v>10</v>
      </c>
      <c r="K34" s="234">
        <f>'TES Valeur étape 4 base 95'!D8</f>
        <v>4</v>
      </c>
      <c r="L34" s="234">
        <f>'TES Valeur étape 4 base 95'!E8</f>
        <v>45</v>
      </c>
      <c r="M34" s="234">
        <f>'TES Valeur étape 4 base 95'!F8</f>
        <v>2</v>
      </c>
      <c r="N34" s="234">
        <f>'TES Valeur étape 4 base 95'!G8</f>
        <v>21</v>
      </c>
      <c r="O34" s="235">
        <f t="shared" si="9"/>
        <v>82</v>
      </c>
      <c r="P34" s="205"/>
      <c r="Q34" s="218" t="s">
        <v>2</v>
      </c>
      <c r="R34" s="276" t="s">
        <v>92</v>
      </c>
      <c r="S34" s="276" t="s">
        <v>5</v>
      </c>
      <c r="T34" s="276" t="s">
        <v>93</v>
      </c>
      <c r="U34" s="276" t="s">
        <v>94</v>
      </c>
      <c r="V34" s="277" t="s">
        <v>81</v>
      </c>
      <c r="W34" s="203"/>
    </row>
    <row r="35" spans="1:23" s="202" customFormat="1" ht="59.7" customHeight="1" x14ac:dyDescent="0.6">
      <c r="A35" s="218" t="s">
        <v>62</v>
      </c>
      <c r="B35" s="234">
        <v>0</v>
      </c>
      <c r="C35" s="234">
        <v>0</v>
      </c>
      <c r="D35" s="234">
        <v>0</v>
      </c>
      <c r="E35" s="234">
        <v>0</v>
      </c>
      <c r="F35" s="234">
        <v>0</v>
      </c>
      <c r="G35" s="235">
        <f t="shared" si="8"/>
        <v>0</v>
      </c>
      <c r="H35" s="205"/>
      <c r="I35" s="218" t="s">
        <v>62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4">
        <v>0</v>
      </c>
      <c r="P35" s="205"/>
      <c r="Q35" s="218" t="s">
        <v>52</v>
      </c>
      <c r="R35" s="231">
        <f t="array" ref="R35:V39">TRANSPOSE(R7:V11)</f>
        <v>0.94444444444444442</v>
      </c>
      <c r="S35" s="231">
        <v>3.787878787878788E-2</v>
      </c>
      <c r="T35" s="231">
        <v>1.7676767676767676E-2</v>
      </c>
      <c r="U35" s="231">
        <v>0</v>
      </c>
      <c r="V35" s="232">
        <v>0</v>
      </c>
      <c r="W35" s="203"/>
    </row>
    <row r="36" spans="1:23" s="202" customFormat="1" ht="59.7" customHeight="1" x14ac:dyDescent="0.6">
      <c r="A36" s="218" t="s">
        <v>64</v>
      </c>
      <c r="B36" s="234">
        <v>43.694383977659214</v>
      </c>
      <c r="C36" s="234">
        <v>619.17305207124105</v>
      </c>
      <c r="D36" s="234">
        <v>135.51126608865081</v>
      </c>
      <c r="E36" s="234">
        <v>103.70970695970695</v>
      </c>
      <c r="F36" s="234">
        <v>617.17623276143991</v>
      </c>
      <c r="G36" s="235">
        <f t="shared" si="8"/>
        <v>1519.2646418586978</v>
      </c>
      <c r="H36" s="205"/>
      <c r="I36" s="227" t="s">
        <v>64</v>
      </c>
      <c r="J36" s="234">
        <f>'TES Valeur étape 4 base 95'!C9</f>
        <v>44</v>
      </c>
      <c r="K36" s="234">
        <f>'TES Valeur étape 4 base 95'!D9</f>
        <v>635</v>
      </c>
      <c r="L36" s="234">
        <f>'TES Valeur étape 4 base 95'!E9</f>
        <v>130</v>
      </c>
      <c r="M36" s="234">
        <f>'TES Valeur étape 4 base 95'!F9</f>
        <v>110</v>
      </c>
      <c r="N36" s="234">
        <f>'TES Valeur étape 4 base 95'!G9</f>
        <v>588</v>
      </c>
      <c r="O36" s="235">
        <f t="shared" si="9"/>
        <v>1507</v>
      </c>
      <c r="P36" s="205"/>
      <c r="Q36" s="218" t="s">
        <v>29</v>
      </c>
      <c r="R36" s="231">
        <v>0</v>
      </c>
      <c r="S36" s="231">
        <v>0.92166315155167222</v>
      </c>
      <c r="T36" s="231">
        <v>7.8336848448327806E-3</v>
      </c>
      <c r="U36" s="231">
        <v>0</v>
      </c>
      <c r="V36" s="232">
        <v>7.0503163603495025E-2</v>
      </c>
      <c r="W36" s="203"/>
    </row>
    <row r="37" spans="1:23" s="202" customFormat="1" ht="59.7" customHeight="1" x14ac:dyDescent="0.6">
      <c r="A37" s="218" t="s">
        <v>33</v>
      </c>
      <c r="B37" s="234">
        <f>SUM(B32:B36)</f>
        <v>199.36791950528877</v>
      </c>
      <c r="C37" s="234">
        <f>SUM(C32:C36)</f>
        <v>2096.2282304280297</v>
      </c>
      <c r="D37" s="234">
        <f>SUM(D32:D36)</f>
        <v>459.64558661102535</v>
      </c>
      <c r="E37" s="234">
        <f>SUM(E32:E36)</f>
        <v>190.29304029304029</v>
      </c>
      <c r="F37" s="234">
        <f>SUM(F32:F36)</f>
        <v>1060.560667344686</v>
      </c>
      <c r="G37" s="235">
        <f t="shared" si="8"/>
        <v>4006.09544418207</v>
      </c>
      <c r="H37" s="205"/>
      <c r="I37" s="218" t="s">
        <v>33</v>
      </c>
      <c r="J37" s="234">
        <f>SUM(J32:J36)</f>
        <v>206</v>
      </c>
      <c r="K37" s="234">
        <f>SUM(K32:K36)</f>
        <v>2196</v>
      </c>
      <c r="L37" s="234">
        <f>SUM(L32:L36)</f>
        <v>448</v>
      </c>
      <c r="M37" s="234">
        <f>SUM(M32:M36)</f>
        <v>201</v>
      </c>
      <c r="N37" s="234">
        <f>SUM(N32:N36)</f>
        <v>926</v>
      </c>
      <c r="O37" s="235">
        <f t="shared" si="9"/>
        <v>3977</v>
      </c>
      <c r="P37" s="205"/>
      <c r="Q37" s="218" t="s">
        <v>89</v>
      </c>
      <c r="R37" s="231">
        <v>0</v>
      </c>
      <c r="S37" s="231">
        <v>1.6194331983805668E-2</v>
      </c>
      <c r="T37" s="231">
        <v>0.97300944669365719</v>
      </c>
      <c r="U37" s="231">
        <v>0</v>
      </c>
      <c r="V37" s="232">
        <v>1.0796221322537112E-2</v>
      </c>
      <c r="W37" s="278"/>
    </row>
    <row r="38" spans="1:23" s="202" customFormat="1" ht="59.7" customHeight="1" x14ac:dyDescent="0.6">
      <c r="A38" s="259" t="s">
        <v>193</v>
      </c>
      <c r="B38" s="514">
        <v>200</v>
      </c>
      <c r="C38" s="514">
        <v>2096</v>
      </c>
      <c r="D38" s="514">
        <v>460</v>
      </c>
      <c r="E38" s="514">
        <v>190</v>
      </c>
      <c r="F38" s="514">
        <v>1060</v>
      </c>
      <c r="G38" s="501">
        <f t="shared" si="8"/>
        <v>4006</v>
      </c>
      <c r="H38" s="205"/>
      <c r="I38" s="218" t="s">
        <v>111</v>
      </c>
      <c r="J38" s="279">
        <f t="shared" ref="J38:O38" si="10">J39-J37</f>
        <v>5.0954441820704801</v>
      </c>
      <c r="K38" s="279">
        <f t="shared" si="10"/>
        <v>19.538466141847039</v>
      </c>
      <c r="L38" s="279">
        <f t="shared" si="10"/>
        <v>-3.7186356969773442</v>
      </c>
      <c r="M38" s="279">
        <f t="shared" si="10"/>
        <v>-1.7573893992491492</v>
      </c>
      <c r="N38" s="279">
        <f t="shared" si="10"/>
        <v>9.0229065908680468</v>
      </c>
      <c r="O38" s="280">
        <f t="shared" si="10"/>
        <v>28.180791818559101</v>
      </c>
      <c r="P38" s="205"/>
      <c r="Q38" s="218" t="s">
        <v>62</v>
      </c>
      <c r="R38" s="231">
        <v>0</v>
      </c>
      <c r="S38" s="231">
        <v>0</v>
      </c>
      <c r="T38" s="231">
        <v>0</v>
      </c>
      <c r="U38" s="231">
        <v>0.95146520146520142</v>
      </c>
      <c r="V38" s="232">
        <v>4.8534798534798536E-2</v>
      </c>
    </row>
    <row r="39" spans="1:23" s="202" customFormat="1" ht="59.7" customHeight="1" x14ac:dyDescent="0.6">
      <c r="A39" s="281" t="s">
        <v>104</v>
      </c>
      <c r="B39" s="282">
        <f t="shared" ref="B39:G39" si="11">B38-B37</f>
        <v>0.63208049471123218</v>
      </c>
      <c r="C39" s="282">
        <f t="shared" si="11"/>
        <v>-0.22823042802974669</v>
      </c>
      <c r="D39" s="282">
        <f t="shared" si="11"/>
        <v>0.35441338897464902</v>
      </c>
      <c r="E39" s="282">
        <f t="shared" si="11"/>
        <v>-0.293040293040292</v>
      </c>
      <c r="F39" s="282">
        <f t="shared" si="11"/>
        <v>-0.56066734468595314</v>
      </c>
      <c r="G39" s="283">
        <f t="shared" si="11"/>
        <v>-9.5444182069968519E-2</v>
      </c>
      <c r="H39" s="205"/>
      <c r="I39" s="284" t="s">
        <v>112</v>
      </c>
      <c r="J39" s="237">
        <f>J37+R30</f>
        <v>211.09544418207048</v>
      </c>
      <c r="K39" s="237">
        <f>K37+S30</f>
        <v>2215.538466141847</v>
      </c>
      <c r="L39" s="237">
        <f>L37+T30</f>
        <v>444.28136430302266</v>
      </c>
      <c r="M39" s="237">
        <f>M37+U30</f>
        <v>199.24261060075085</v>
      </c>
      <c r="N39" s="237">
        <f>N37+V30</f>
        <v>935.02290659086805</v>
      </c>
      <c r="O39" s="238">
        <f>SUM(J39:N39)</f>
        <v>4005.1807918185591</v>
      </c>
      <c r="P39" s="205"/>
      <c r="Q39" s="236" t="s">
        <v>64</v>
      </c>
      <c r="R39" s="240">
        <v>0</v>
      </c>
      <c r="S39" s="240">
        <v>4.1322314049586778E-2</v>
      </c>
      <c r="T39" s="240">
        <v>6.993006993006993E-3</v>
      </c>
      <c r="U39" s="240">
        <v>0</v>
      </c>
      <c r="V39" s="241">
        <v>0.95168467895740627</v>
      </c>
    </row>
    <row r="65521" ht="12.75" customHeight="1" x14ac:dyDescent="0.25"/>
    <row r="65522" ht="12.75" customHeight="1" x14ac:dyDescent="0.25"/>
  </sheetData>
  <sheetProtection selectLockedCells="1" selectUnlockedCells="1"/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   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zoomScale="50" zoomScaleNormal="50" workbookViewId="0">
      <selection activeCell="Q27" sqref="Q27"/>
    </sheetView>
  </sheetViews>
  <sheetFormatPr baseColWidth="10" defaultColWidth="11.44140625" defaultRowHeight="65.25" customHeight="1" x14ac:dyDescent="0.5"/>
  <cols>
    <col min="1" max="1" width="45.5546875" style="286" customWidth="1"/>
    <col min="2" max="11" width="13.88671875" style="112" customWidth="1"/>
    <col min="12" max="12" width="15" style="112" customWidth="1"/>
    <col min="13" max="17" width="13.88671875" style="112" customWidth="1"/>
    <col min="18" max="16384" width="11.44140625" style="286"/>
  </cols>
  <sheetData>
    <row r="1" spans="1:21" ht="65.25" customHeight="1" x14ac:dyDescent="0.7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1"/>
    </row>
    <row r="2" spans="1:21" ht="65.25" customHeight="1" x14ac:dyDescent="0.5">
      <c r="A2" s="288" t="s">
        <v>113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 s="289" customFormat="1" ht="65.25" customHeight="1" x14ac:dyDescent="0.5">
      <c r="A3" s="7" t="s">
        <v>2</v>
      </c>
      <c r="B3" s="113" t="s">
        <v>3</v>
      </c>
      <c r="C3" s="114" t="s">
        <v>4</v>
      </c>
      <c r="D3" s="114" t="s">
        <v>5</v>
      </c>
      <c r="E3" s="114" t="s">
        <v>6</v>
      </c>
      <c r="F3" s="114" t="s">
        <v>7</v>
      </c>
      <c r="G3" s="114" t="s">
        <v>8</v>
      </c>
      <c r="H3" s="115" t="s">
        <v>8</v>
      </c>
      <c r="I3" s="11" t="s">
        <v>9</v>
      </c>
      <c r="J3" s="11" t="s">
        <v>48</v>
      </c>
      <c r="K3" s="557" t="s">
        <v>11</v>
      </c>
      <c r="L3" s="557"/>
      <c r="M3" s="115" t="s">
        <v>12</v>
      </c>
      <c r="N3" s="558" t="s">
        <v>13</v>
      </c>
      <c r="O3" s="558"/>
      <c r="P3" s="115" t="s">
        <v>14</v>
      </c>
      <c r="Q3" s="11" t="s">
        <v>9</v>
      </c>
    </row>
    <row r="4" spans="1:21" s="289" customFormat="1" ht="65.25" customHeight="1" x14ac:dyDescent="0.5">
      <c r="A4" s="15" t="s">
        <v>15</v>
      </c>
      <c r="B4" s="117" t="s">
        <v>16</v>
      </c>
      <c r="C4" s="118"/>
      <c r="D4" s="118"/>
      <c r="E4" s="118"/>
      <c r="F4" s="118" t="s">
        <v>17</v>
      </c>
      <c r="G4" s="118" t="s">
        <v>18</v>
      </c>
      <c r="H4" s="119" t="s">
        <v>19</v>
      </c>
      <c r="I4" s="19" t="s">
        <v>48</v>
      </c>
      <c r="J4" s="19" t="s">
        <v>21</v>
      </c>
      <c r="K4" s="118" t="s">
        <v>22</v>
      </c>
      <c r="L4" s="118" t="s">
        <v>23</v>
      </c>
      <c r="M4" s="119" t="s">
        <v>24</v>
      </c>
      <c r="N4" s="118" t="s">
        <v>25</v>
      </c>
      <c r="O4" s="118" t="s">
        <v>26</v>
      </c>
      <c r="P4" s="119"/>
      <c r="Q4" s="19" t="s">
        <v>27</v>
      </c>
    </row>
    <row r="5" spans="1:21" ht="65.25" customHeight="1" x14ac:dyDescent="0.5">
      <c r="A5" s="52" t="s">
        <v>28</v>
      </c>
      <c r="B5" s="290">
        <v>91</v>
      </c>
      <c r="C5" s="291"/>
      <c r="D5" s="291">
        <v>241</v>
      </c>
      <c r="E5" s="291"/>
      <c r="F5" s="291"/>
      <c r="G5" s="291">
        <v>19</v>
      </c>
      <c r="H5" s="292">
        <v>8</v>
      </c>
      <c r="I5" s="177">
        <f>SUM(B5:H5)</f>
        <v>359</v>
      </c>
      <c r="J5" s="293">
        <f>'TES Valeur étape 4 base 95'!J5</f>
        <v>359</v>
      </c>
      <c r="K5" s="125">
        <v>163</v>
      </c>
      <c r="L5" s="125"/>
      <c r="M5" s="125">
        <f>agric!D17</f>
        <v>4</v>
      </c>
      <c r="N5" s="125">
        <v>9</v>
      </c>
      <c r="O5" s="125">
        <v>6</v>
      </c>
      <c r="P5" s="29">
        <v>86</v>
      </c>
      <c r="Q5" s="30">
        <f t="shared" ref="Q5:Q11" si="0">SUM(K5:P5)+J5</f>
        <v>627</v>
      </c>
      <c r="R5" s="294">
        <f>Q5-B25</f>
        <v>0</v>
      </c>
    </row>
    <row r="6" spans="1:21" ht="65.25" customHeight="1" x14ac:dyDescent="0.5">
      <c r="A6" s="126" t="s">
        <v>4</v>
      </c>
      <c r="B6" s="295">
        <v>16</v>
      </c>
      <c r="C6" s="515">
        <f>'CALCUL EFFET COLONNE ET TEI'!J18</f>
        <v>107</v>
      </c>
      <c r="D6" s="515">
        <f>'CALCUL EFFET COLONNE ET TEI'!K18</f>
        <v>101</v>
      </c>
      <c r="E6" s="515">
        <f>'CALCUL EFFET COLONNE ET TEI'!L18</f>
        <v>11</v>
      </c>
      <c r="F6" s="515">
        <f>'CALCUL EFFET COLONNE ET TEI'!M18</f>
        <v>46</v>
      </c>
      <c r="G6" s="515">
        <f>'CALCUL EFFET COLONNE ET TEI'!N18</f>
        <v>42</v>
      </c>
      <c r="H6" s="516">
        <v>30</v>
      </c>
      <c r="I6" s="181">
        <f>SUM(B6:H6)</f>
        <v>353</v>
      </c>
      <c r="J6" s="293">
        <f>'TES Valeur étape 4 base 95'!J6</f>
        <v>353</v>
      </c>
      <c r="K6" s="125">
        <v>248</v>
      </c>
      <c r="L6" s="125"/>
      <c r="M6" s="125"/>
      <c r="N6" s="125"/>
      <c r="O6" s="125"/>
      <c r="P6" s="29">
        <v>26</v>
      </c>
      <c r="Q6" s="30">
        <f t="shared" si="0"/>
        <v>627</v>
      </c>
    </row>
    <row r="7" spans="1:21" ht="65.25" customHeight="1" x14ac:dyDescent="0.5">
      <c r="A7" s="126" t="s">
        <v>29</v>
      </c>
      <c r="B7" s="295">
        <v>115</v>
      </c>
      <c r="C7" s="517">
        <f>'CALCUL EFFET COLONNE ET TEI'!J19</f>
        <v>47.316110991850216</v>
      </c>
      <c r="D7" s="517">
        <f>'CALCUL EFFET COLONNE ET TEI'!K19</f>
        <v>1470</v>
      </c>
      <c r="E7" s="517">
        <f>'CALCUL EFFET COLONNE ET TEI'!L19</f>
        <v>259</v>
      </c>
      <c r="F7" s="517">
        <f>'CALCUL EFFET COLONNE ET TEI'!M19</f>
        <v>43</v>
      </c>
      <c r="G7" s="517">
        <f>'CALCUL EFFET COLONNE ET TEI'!N19</f>
        <v>278</v>
      </c>
      <c r="H7" s="516">
        <v>174</v>
      </c>
      <c r="I7" s="130">
        <f>SUM(B7:H7)</f>
        <v>2386.3161109918501</v>
      </c>
      <c r="J7" s="293">
        <f>'TES Valeur étape 4 base 95'!J7</f>
        <v>2361</v>
      </c>
      <c r="K7" s="125">
        <f>'TES Valeur étape 4 base 95'!K7</f>
        <v>1431</v>
      </c>
      <c r="L7" s="125">
        <v>49</v>
      </c>
      <c r="M7" s="125">
        <v>472</v>
      </c>
      <c r="N7" s="125">
        <f>indus2!D22</f>
        <v>-2</v>
      </c>
      <c r="O7" s="125">
        <f>indus2!D23</f>
        <v>0</v>
      </c>
      <c r="P7" s="29">
        <v>1023</v>
      </c>
      <c r="Q7" s="30">
        <f t="shared" si="0"/>
        <v>5334</v>
      </c>
    </row>
    <row r="8" spans="1:21" ht="65.25" customHeight="1" x14ac:dyDescent="0.5">
      <c r="A8" s="126" t="s">
        <v>30</v>
      </c>
      <c r="B8" s="295">
        <v>1</v>
      </c>
      <c r="C8" s="517">
        <f>'CALCUL EFFET COLONNE ET TEI'!J20</f>
        <v>10.51469133152227</v>
      </c>
      <c r="D8" s="517">
        <f>'CALCUL EFFET COLONNE ET TEI'!K20</f>
        <v>4</v>
      </c>
      <c r="E8" s="517">
        <f>'CALCUL EFFET COLONNE ET TEI'!L20</f>
        <v>45</v>
      </c>
      <c r="F8" s="517">
        <f>'CALCUL EFFET COLONNE ET TEI'!M20</f>
        <v>2</v>
      </c>
      <c r="G8" s="517">
        <f>'CALCUL EFFET COLONNE ET TEI'!N20</f>
        <v>21</v>
      </c>
      <c r="H8" s="516">
        <v>44</v>
      </c>
      <c r="I8" s="130">
        <f>SUM(B8:H8)</f>
        <v>127.51469133152227</v>
      </c>
      <c r="J8" s="293">
        <f>'TES Valeur étape 4 base 95'!J8</f>
        <v>119</v>
      </c>
      <c r="K8" s="125">
        <f>'TES Valeur étape 4 base 95'!K8</f>
        <v>29</v>
      </c>
      <c r="L8" s="125"/>
      <c r="M8" s="125">
        <f>'TES Valeur étape 4 base 95'!M8</f>
        <v>592</v>
      </c>
      <c r="N8" s="125"/>
      <c r="O8" s="125">
        <v>1</v>
      </c>
      <c r="P8" s="29"/>
      <c r="Q8" s="30">
        <f t="shared" si="0"/>
        <v>741</v>
      </c>
    </row>
    <row r="9" spans="1:21" ht="65.25" customHeight="1" x14ac:dyDescent="0.5">
      <c r="A9" s="134" t="s">
        <v>31</v>
      </c>
      <c r="B9" s="295">
        <v>16</v>
      </c>
      <c r="C9" s="517">
        <f>'CALCUL EFFET COLONNE ET TEI'!J22</f>
        <v>46.264641858697992</v>
      </c>
      <c r="D9" s="517">
        <f>'CALCUL EFFET COLONNE ET TEI'!K22</f>
        <v>641</v>
      </c>
      <c r="E9" s="517">
        <f>'CALCUL EFFET COLONNE ET TEI'!L22</f>
        <v>129</v>
      </c>
      <c r="F9" s="517">
        <f>'CALCUL EFFET COLONNE ET TEI'!M22</f>
        <v>109</v>
      </c>
      <c r="G9" s="517">
        <f>'CALCUL EFFET COLONNE ET TEI'!N22</f>
        <v>594</v>
      </c>
      <c r="H9" s="518">
        <v>113</v>
      </c>
      <c r="I9" s="297">
        <f>SUM(B9:H9)</f>
        <v>1648.264641858698</v>
      </c>
      <c r="J9" s="293">
        <f>'TES Valeur étape 4 base 95'!J9</f>
        <v>-1723</v>
      </c>
      <c r="K9" s="137">
        <f>'TES Valeur étape 4 base 95'!K9</f>
        <v>1340</v>
      </c>
      <c r="L9" s="137"/>
      <c r="M9" s="137">
        <v>94</v>
      </c>
      <c r="N9" s="137"/>
      <c r="O9" s="137"/>
      <c r="P9" s="41">
        <v>289</v>
      </c>
      <c r="Q9" s="30">
        <f t="shared" si="0"/>
        <v>0</v>
      </c>
    </row>
    <row r="10" spans="1:21" ht="65.25" customHeight="1" x14ac:dyDescent="0.5">
      <c r="A10" s="126" t="s">
        <v>32</v>
      </c>
      <c r="B10" s="295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96">
        <v>0</v>
      </c>
      <c r="I10" s="131">
        <v>0</v>
      </c>
      <c r="J10" s="293">
        <f>'TES Valeur étape 5 base 95'!J11</f>
        <v>0</v>
      </c>
      <c r="K10" s="125">
        <f>servNM!F10</f>
        <v>93</v>
      </c>
      <c r="L10" s="125">
        <f>servNM!F11</f>
        <v>1125</v>
      </c>
      <c r="M10" s="125"/>
      <c r="N10" s="125"/>
      <c r="O10" s="125"/>
      <c r="P10" s="29"/>
      <c r="Q10" s="30">
        <f t="shared" si="0"/>
        <v>1218</v>
      </c>
    </row>
    <row r="11" spans="1:21" ht="65.25" customHeight="1" x14ac:dyDescent="0.5">
      <c r="A11" s="138" t="s">
        <v>33</v>
      </c>
      <c r="B11" s="298">
        <f>SUM(B5:B10)</f>
        <v>239</v>
      </c>
      <c r="C11" s="299">
        <f>SUM(C5:C10)</f>
        <v>211.09544418207048</v>
      </c>
      <c r="D11" s="299">
        <f>SUM(D5:D10)</f>
        <v>2457</v>
      </c>
      <c r="E11" s="299">
        <f>SUM(E6:E10)</f>
        <v>444</v>
      </c>
      <c r="F11" s="300">
        <f>SUM(F6:F10)</f>
        <v>200</v>
      </c>
      <c r="G11" s="300">
        <f>SUM(G5:G10)</f>
        <v>954</v>
      </c>
      <c r="H11" s="301">
        <f>SUM(H5:H10)</f>
        <v>369</v>
      </c>
      <c r="I11" s="297">
        <f>SUM(B11:H11)</f>
        <v>4874.0954441820704</v>
      </c>
      <c r="J11" s="302">
        <f t="shared" ref="J11:P11" si="1">SUM(J5:J10)</f>
        <v>1469</v>
      </c>
      <c r="K11" s="143">
        <f t="shared" si="1"/>
        <v>3304</v>
      </c>
      <c r="L11" s="140">
        <f t="shared" si="1"/>
        <v>1174</v>
      </c>
      <c r="M11" s="140">
        <f t="shared" si="1"/>
        <v>1162</v>
      </c>
      <c r="N11" s="140">
        <f t="shared" si="1"/>
        <v>7</v>
      </c>
      <c r="O11" s="140">
        <f t="shared" si="1"/>
        <v>7</v>
      </c>
      <c r="P11" s="50">
        <f t="shared" si="1"/>
        <v>1424</v>
      </c>
      <c r="Q11" s="46">
        <f t="shared" si="0"/>
        <v>8547</v>
      </c>
      <c r="R11" s="294">
        <f>SUM(Q5:Q10)</f>
        <v>8547</v>
      </c>
    </row>
    <row r="12" spans="1:21" ht="65.25" customHeight="1" x14ac:dyDescent="0.5">
      <c r="A12" s="15" t="s">
        <v>34</v>
      </c>
      <c r="B12" s="59">
        <f t="shared" ref="B12:I12" si="2">B13-B11</f>
        <v>275</v>
      </c>
      <c r="C12" s="128">
        <f t="shared" si="2"/>
        <v>184.90455581792952</v>
      </c>
      <c r="D12" s="128">
        <f t="shared" si="2"/>
        <v>862</v>
      </c>
      <c r="E12" s="128">
        <f t="shared" si="2"/>
        <v>297</v>
      </c>
      <c r="F12" s="128">
        <f t="shared" si="2"/>
        <v>892</v>
      </c>
      <c r="G12" s="128">
        <f t="shared" si="2"/>
        <v>2192</v>
      </c>
      <c r="H12" s="29">
        <f t="shared" si="2"/>
        <v>958</v>
      </c>
      <c r="I12" s="303">
        <f t="shared" si="2"/>
        <v>5660.9045558179296</v>
      </c>
      <c r="J12" s="182"/>
      <c r="K12" s="182"/>
      <c r="L12" s="182"/>
      <c r="M12" s="182"/>
      <c r="N12" s="182"/>
      <c r="O12" s="182"/>
      <c r="P12" s="186"/>
      <c r="Q12" s="186"/>
    </row>
    <row r="13" spans="1:21" ht="65.25" customHeight="1" x14ac:dyDescent="0.5">
      <c r="A13" s="52" t="s">
        <v>35</v>
      </c>
      <c r="B13" s="146">
        <v>514</v>
      </c>
      <c r="C13" s="147">
        <v>396</v>
      </c>
      <c r="D13" s="147">
        <v>3319</v>
      </c>
      <c r="E13" s="147">
        <v>741</v>
      </c>
      <c r="F13" s="147">
        <f>F16</f>
        <v>1092</v>
      </c>
      <c r="G13" s="147">
        <f>'TES Valeur étape 5 base 95'!G14</f>
        <v>3146</v>
      </c>
      <c r="H13" s="148">
        <f>servNM!F5</f>
        <v>1327</v>
      </c>
      <c r="I13" s="124">
        <f t="shared" ref="I13:I18" si="3">SUM(B13:H13)</f>
        <v>10535</v>
      </c>
      <c r="J13" s="154"/>
      <c r="K13" s="144"/>
      <c r="L13" s="144"/>
      <c r="M13" s="144"/>
      <c r="N13" s="144"/>
      <c r="O13" s="144"/>
      <c r="P13" s="51"/>
      <c r="Q13" s="145"/>
      <c r="U13" s="294">
        <f>I11-'TES Valeur étape 4 base 95'!I11</f>
        <v>29.095444182070423</v>
      </c>
    </row>
    <row r="14" spans="1:21" ht="65.25" customHeight="1" x14ac:dyDescent="0.5">
      <c r="A14" s="126" t="s">
        <v>36</v>
      </c>
      <c r="B14" s="149">
        <v>-49</v>
      </c>
      <c r="C14" s="125"/>
      <c r="D14" s="125">
        <v>49</v>
      </c>
      <c r="E14" s="125"/>
      <c r="F14" s="125"/>
      <c r="G14" s="125"/>
      <c r="H14" s="150"/>
      <c r="I14" s="131">
        <f t="shared" si="3"/>
        <v>0</v>
      </c>
      <c r="J14" s="144"/>
      <c r="K14" s="144"/>
      <c r="L14" s="144" t="s">
        <v>114</v>
      </c>
      <c r="M14" s="51"/>
      <c r="N14" s="51"/>
      <c r="O14" s="144"/>
      <c r="P14" s="51"/>
      <c r="Q14" s="51"/>
    </row>
    <row r="15" spans="1:21" ht="65.25" customHeight="1" x14ac:dyDescent="0.5">
      <c r="A15" s="138" t="s">
        <v>37</v>
      </c>
      <c r="B15" s="151"/>
      <c r="C15" s="140"/>
      <c r="D15" s="140">
        <f>indus2!D8</f>
        <v>12</v>
      </c>
      <c r="E15" s="140"/>
      <c r="F15" s="140"/>
      <c r="G15" s="140">
        <v>97</v>
      </c>
      <c r="H15" s="152">
        <f>servNM!F6</f>
        <v>-109</v>
      </c>
      <c r="I15" s="153">
        <f t="shared" si="3"/>
        <v>0</v>
      </c>
      <c r="J15" s="144"/>
      <c r="K15" s="144"/>
      <c r="L15" s="502" t="s">
        <v>196</v>
      </c>
      <c r="M15" s="51"/>
      <c r="N15" s="51" t="s">
        <v>115</v>
      </c>
      <c r="O15" s="144"/>
      <c r="P15" s="51"/>
      <c r="Q15" s="51"/>
    </row>
    <row r="16" spans="1:21" ht="65.25" customHeight="1" x14ac:dyDescent="0.5">
      <c r="A16" s="53" t="s">
        <v>38</v>
      </c>
      <c r="B16" s="149">
        <f>SUM(B13:B15)</f>
        <v>465</v>
      </c>
      <c r="C16" s="125">
        <f>SUM(C13:C15)</f>
        <v>396</v>
      </c>
      <c r="D16" s="125">
        <f>SUM(D13:D15)</f>
        <v>3380</v>
      </c>
      <c r="E16" s="125">
        <f>SUM(E13:E15)</f>
        <v>741</v>
      </c>
      <c r="F16" s="125">
        <f>-SUM(F20:F23)</f>
        <v>1092</v>
      </c>
      <c r="G16" s="125">
        <f>SUM(G13:G15)</f>
        <v>3243</v>
      </c>
      <c r="H16" s="150">
        <f>SUM(H13:H15)</f>
        <v>1218</v>
      </c>
      <c r="I16" s="131">
        <f t="shared" si="3"/>
        <v>10535</v>
      </c>
      <c r="J16" s="144"/>
      <c r="K16" s="144"/>
      <c r="L16" s="144"/>
      <c r="M16" s="144"/>
      <c r="N16" s="144"/>
      <c r="O16" s="144"/>
      <c r="P16" s="51"/>
      <c r="Q16" s="51"/>
    </row>
    <row r="17" spans="1:17" ht="65.25" customHeight="1" x14ac:dyDescent="0.5">
      <c r="A17" s="126" t="s">
        <v>39</v>
      </c>
      <c r="B17" s="149">
        <v>52</v>
      </c>
      <c r="C17" s="125">
        <v>111</v>
      </c>
      <c r="D17" s="125">
        <v>1066</v>
      </c>
      <c r="E17" s="125"/>
      <c r="F17" s="125"/>
      <c r="G17" s="125">
        <v>179</v>
      </c>
      <c r="H17" s="125"/>
      <c r="I17" s="131">
        <f t="shared" si="3"/>
        <v>1408</v>
      </c>
      <c r="J17" s="144"/>
      <c r="K17" s="144"/>
      <c r="L17" s="144"/>
      <c r="M17" s="144"/>
      <c r="N17" s="144"/>
      <c r="O17" s="144"/>
      <c r="P17" s="51"/>
      <c r="Q17" s="51"/>
    </row>
    <row r="18" spans="1:17" ht="65.25" customHeight="1" x14ac:dyDescent="0.5">
      <c r="A18" s="126" t="s">
        <v>40</v>
      </c>
      <c r="B18" s="149">
        <f>agric!D9</f>
        <v>1</v>
      </c>
      <c r="C18" s="125"/>
      <c r="D18" s="125">
        <f>indus2!D11</f>
        <v>10</v>
      </c>
      <c r="E18" s="125"/>
      <c r="F18" s="125"/>
      <c r="G18" s="125"/>
      <c r="H18" s="125"/>
      <c r="I18" s="131">
        <f t="shared" si="3"/>
        <v>11</v>
      </c>
      <c r="J18" s="144"/>
      <c r="K18" s="144"/>
      <c r="L18" s="144"/>
      <c r="M18" s="144"/>
      <c r="N18" s="144"/>
      <c r="O18" s="144"/>
      <c r="P18" s="51"/>
      <c r="Q18" s="51"/>
    </row>
    <row r="19" spans="1:17" ht="65.25" customHeight="1" x14ac:dyDescent="0.5">
      <c r="A19" s="134" t="s">
        <v>41</v>
      </c>
      <c r="B19" s="155"/>
      <c r="C19" s="137"/>
      <c r="D19" s="137"/>
      <c r="E19" s="137"/>
      <c r="F19" s="137"/>
      <c r="G19" s="137"/>
      <c r="H19" s="137"/>
      <c r="I19" s="136"/>
      <c r="J19" s="144"/>
      <c r="K19" s="144"/>
      <c r="L19" s="144"/>
      <c r="M19" s="144"/>
      <c r="N19" s="144"/>
      <c r="O19" s="144"/>
      <c r="P19" s="51"/>
      <c r="Q19" s="51"/>
    </row>
    <row r="20" spans="1:17" ht="65.25" customHeight="1" x14ac:dyDescent="0.5">
      <c r="A20" s="53" t="s">
        <v>42</v>
      </c>
      <c r="B20" s="157">
        <v>44</v>
      </c>
      <c r="C20" s="158">
        <v>32</v>
      </c>
      <c r="D20" s="158">
        <v>306</v>
      </c>
      <c r="E20" s="60"/>
      <c r="F20" s="158">
        <f>-SUM(B20:D20)</f>
        <v>-382</v>
      </c>
      <c r="G20" s="158"/>
      <c r="H20" s="158"/>
      <c r="I20" s="159">
        <f>SUM(B20:H20)</f>
        <v>0</v>
      </c>
      <c r="J20" s="144"/>
      <c r="K20" s="144"/>
      <c r="L20" s="559"/>
      <c r="M20" s="559"/>
      <c r="N20" s="144"/>
      <c r="O20" s="144"/>
      <c r="P20" s="51"/>
      <c r="Q20" s="51"/>
    </row>
    <row r="21" spans="1:17" ht="65.25" customHeight="1" x14ac:dyDescent="0.6">
      <c r="A21" s="126" t="s">
        <v>43</v>
      </c>
      <c r="B21" s="149">
        <v>81</v>
      </c>
      <c r="C21" s="125">
        <v>44</v>
      </c>
      <c r="D21" s="125">
        <v>504</v>
      </c>
      <c r="E21" s="60"/>
      <c r="F21" s="125">
        <f>-SUM(B21:D21)</f>
        <v>-629</v>
      </c>
      <c r="G21" s="125"/>
      <c r="H21" s="125"/>
      <c r="I21" s="131">
        <f>SUM(B21:H21)</f>
        <v>0</v>
      </c>
      <c r="J21" s="144"/>
      <c r="K21" s="304"/>
      <c r="L21" s="304" t="s">
        <v>70</v>
      </c>
      <c r="M21" s="305" t="s">
        <v>71</v>
      </c>
      <c r="N21" s="144"/>
      <c r="O21" s="144"/>
      <c r="P21" s="51"/>
      <c r="Q21" s="51"/>
    </row>
    <row r="22" spans="1:17" ht="65.25" customHeight="1" x14ac:dyDescent="0.6">
      <c r="A22" s="126" t="s">
        <v>44</v>
      </c>
      <c r="B22" s="149">
        <v>0</v>
      </c>
      <c r="C22" s="125"/>
      <c r="D22" s="125">
        <v>37</v>
      </c>
      <c r="E22" s="60"/>
      <c r="F22" s="125">
        <f>-SUM(B22:D22)</f>
        <v>-37</v>
      </c>
      <c r="G22" s="125"/>
      <c r="H22" s="125"/>
      <c r="I22" s="131">
        <f>SUM(B22:H22)</f>
        <v>0</v>
      </c>
      <c r="J22" s="144"/>
      <c r="K22" s="306" t="s">
        <v>72</v>
      </c>
      <c r="L22" s="307">
        <f>I12+I18+I24</f>
        <v>5686.9045558179296</v>
      </c>
      <c r="M22" s="307">
        <f>Q11-J11-I17</f>
        <v>5670</v>
      </c>
      <c r="N22" s="144"/>
      <c r="O22" s="144"/>
      <c r="P22" s="144"/>
      <c r="Q22" s="51"/>
    </row>
    <row r="23" spans="1:17" ht="65.25" customHeight="1" x14ac:dyDescent="0.5">
      <c r="A23" s="126" t="s">
        <v>45</v>
      </c>
      <c r="B23" s="149">
        <v>13</v>
      </c>
      <c r="C23" s="125"/>
      <c r="D23" s="125">
        <v>31</v>
      </c>
      <c r="E23" s="145"/>
      <c r="F23" s="125">
        <f>-SUM(B23:D23)</f>
        <v>-44</v>
      </c>
      <c r="G23" s="125"/>
      <c r="H23" s="125"/>
      <c r="I23" s="131">
        <f>SUM(B23:H23)</f>
        <v>0</v>
      </c>
      <c r="J23" s="144"/>
      <c r="K23" s="144"/>
      <c r="L23" s="144"/>
      <c r="M23" s="144"/>
      <c r="N23" s="144"/>
      <c r="O23" s="144"/>
      <c r="P23" s="51"/>
      <c r="Q23" s="51"/>
    </row>
    <row r="24" spans="1:17" ht="65.25" customHeight="1" x14ac:dyDescent="0.5">
      <c r="A24" s="160" t="s">
        <v>46</v>
      </c>
      <c r="B24" s="155">
        <v>-29</v>
      </c>
      <c r="C24" s="137">
        <v>44</v>
      </c>
      <c r="D24" s="137"/>
      <c r="E24" s="137"/>
      <c r="F24" s="137"/>
      <c r="G24" s="137"/>
      <c r="H24" s="137"/>
      <c r="I24" s="136">
        <f>SUM(B23:H24)</f>
        <v>15</v>
      </c>
      <c r="J24" s="144"/>
      <c r="K24" s="144"/>
      <c r="L24" s="144"/>
      <c r="M24" s="144"/>
      <c r="N24" s="144"/>
      <c r="O24" s="144"/>
      <c r="P24" s="51"/>
      <c r="Q24" s="51"/>
    </row>
    <row r="25" spans="1:17" ht="65.25" customHeight="1" x14ac:dyDescent="0.5">
      <c r="A25" s="64" t="s">
        <v>47</v>
      </c>
      <c r="B25" s="161">
        <f t="shared" ref="B25:H25" si="4">SUM(B16:B24)</f>
        <v>627</v>
      </c>
      <c r="C25" s="162">
        <f t="shared" si="4"/>
        <v>627</v>
      </c>
      <c r="D25" s="162">
        <f t="shared" si="4"/>
        <v>5334</v>
      </c>
      <c r="E25" s="162">
        <f t="shared" si="4"/>
        <v>741</v>
      </c>
      <c r="F25" s="162">
        <f t="shared" si="4"/>
        <v>0</v>
      </c>
      <c r="G25" s="162">
        <f t="shared" si="4"/>
        <v>3422</v>
      </c>
      <c r="H25" s="162">
        <f t="shared" si="4"/>
        <v>1218</v>
      </c>
      <c r="I25" s="163">
        <f>SUM(B25:H25)</f>
        <v>11969</v>
      </c>
      <c r="J25" s="144"/>
      <c r="K25" s="144"/>
      <c r="L25" s="144"/>
      <c r="M25" s="144"/>
      <c r="N25" s="144"/>
      <c r="O25" s="144"/>
      <c r="P25" s="51"/>
      <c r="Q25" s="51"/>
    </row>
    <row r="26" spans="1:17" ht="65.25" customHeight="1" x14ac:dyDescent="0.5">
      <c r="A26" s="195"/>
      <c r="C26" s="114"/>
      <c r="D26" s="114"/>
      <c r="E26" s="114"/>
      <c r="F26" s="114"/>
      <c r="G26" s="114"/>
      <c r="J26" s="5"/>
      <c r="K26" s="5"/>
      <c r="L26" s="5"/>
      <c r="M26" s="5"/>
      <c r="N26" s="5"/>
      <c r="O26" s="5"/>
    </row>
    <row r="27" spans="1:17" ht="65.25" customHeight="1" x14ac:dyDescent="0.5">
      <c r="A27" s="195"/>
      <c r="C27" s="308"/>
      <c r="D27" s="308"/>
      <c r="E27" s="308"/>
      <c r="F27" s="308"/>
      <c r="G27" s="308"/>
    </row>
    <row r="28" spans="1:17" ht="65.25" customHeight="1" x14ac:dyDescent="0.5">
      <c r="B28" s="112" t="s">
        <v>78</v>
      </c>
      <c r="C28" s="308">
        <f t="shared" ref="C28:G29" si="5">C7/C$13</f>
        <v>0.11948512876729853</v>
      </c>
      <c r="D28" s="308">
        <f t="shared" si="5"/>
        <v>0.44290448930400722</v>
      </c>
      <c r="E28" s="308">
        <f t="shared" si="5"/>
        <v>0.34952766531713902</v>
      </c>
      <c r="F28" s="308">
        <f t="shared" si="5"/>
        <v>3.9377289377289376E-2</v>
      </c>
      <c r="G28" s="308">
        <f t="shared" si="5"/>
        <v>8.8366179275270185E-2</v>
      </c>
    </row>
    <row r="29" spans="1:17" ht="65.25" customHeight="1" x14ac:dyDescent="0.5">
      <c r="B29" s="112" t="s">
        <v>79</v>
      </c>
      <c r="C29" s="308">
        <f t="shared" si="5"/>
        <v>2.6552250837177448E-2</v>
      </c>
      <c r="D29" s="308">
        <f t="shared" si="5"/>
        <v>1.2051822838204278E-3</v>
      </c>
      <c r="E29" s="308">
        <f t="shared" si="5"/>
        <v>6.0728744939271252E-2</v>
      </c>
      <c r="F29" s="308">
        <f t="shared" si="5"/>
        <v>1.8315018315018315E-3</v>
      </c>
      <c r="G29" s="308">
        <f t="shared" si="5"/>
        <v>6.6751430387794021E-3</v>
      </c>
    </row>
    <row r="30" spans="1:17" ht="65.25" customHeight="1" x14ac:dyDescent="0.5">
      <c r="B30" s="112" t="s">
        <v>80</v>
      </c>
      <c r="C30" s="308" t="e">
        <f>#N/A</f>
        <v>#N/A</v>
      </c>
      <c r="D30" s="308" t="e">
        <f>#N/A</f>
        <v>#N/A</v>
      </c>
      <c r="E30" s="308" t="e">
        <f>#N/A</f>
        <v>#N/A</v>
      </c>
      <c r="F30" s="308" t="e">
        <f>#N/A</f>
        <v>#N/A</v>
      </c>
      <c r="G30" s="308" t="e">
        <f>#N/A</f>
        <v>#N/A</v>
      </c>
    </row>
    <row r="31" spans="1:17" ht="65.25" customHeight="1" x14ac:dyDescent="0.5">
      <c r="B31" s="112" t="s">
        <v>81</v>
      </c>
      <c r="C31" s="308">
        <f>C9/C$13</f>
        <v>0.11682990368358079</v>
      </c>
      <c r="D31" s="308">
        <f>D9/D$13</f>
        <v>0.19313046098222356</v>
      </c>
      <c r="E31" s="308">
        <f>E9/E$13</f>
        <v>0.17408906882591094</v>
      </c>
      <c r="F31" s="308">
        <f>F9/F$13</f>
        <v>9.9816849816849823E-2</v>
      </c>
      <c r="G31" s="308">
        <f>G9/G$13</f>
        <v>0.1888111888111888</v>
      </c>
    </row>
    <row r="32" spans="1:17" ht="65.25" customHeight="1" x14ac:dyDescent="0.5">
      <c r="C32" s="112" t="e">
        <f>SUM(C27:C31)</f>
        <v>#N/A</v>
      </c>
      <c r="D32" s="112" t="e">
        <f>SUM(D27:D31)</f>
        <v>#N/A</v>
      </c>
      <c r="E32" s="112" t="e">
        <f>SUM(E27:E31)</f>
        <v>#N/A</v>
      </c>
      <c r="F32" s="112" t="e">
        <f>SUM(F27:F31)</f>
        <v>#N/A</v>
      </c>
      <c r="G32" s="112" t="e">
        <f>SUM(G27:G31)</f>
        <v>#N/A</v>
      </c>
    </row>
  </sheetData>
  <sheetProtection selectLockedCells="1" selectUnlockedCells="1"/>
  <mergeCells count="4">
    <mergeCell ref="A1:P1"/>
    <mergeCell ref="K3:L3"/>
    <mergeCell ref="N3:O3"/>
    <mergeCell ref="L20:M20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 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opLeftCell="A6" zoomScale="50" zoomScaleNormal="50" workbookViewId="0">
      <selection activeCell="P23" sqref="P23"/>
    </sheetView>
  </sheetViews>
  <sheetFormatPr baseColWidth="10" defaultColWidth="11.44140625" defaultRowHeight="65.25" customHeight="1" x14ac:dyDescent="0.5"/>
  <cols>
    <col min="1" max="1" width="46.6640625" style="169" customWidth="1"/>
    <col min="2" max="10" width="13.88671875" style="112" customWidth="1"/>
    <col min="11" max="11" width="18.109375" style="112" customWidth="1"/>
    <col min="12" max="17" width="13.88671875" style="112" customWidth="1"/>
    <col min="18" max="16384" width="11.44140625" style="169"/>
  </cols>
  <sheetData>
    <row r="1" spans="1:18" ht="65.25" customHeight="1" x14ac:dyDescent="0.7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1"/>
    </row>
    <row r="2" spans="1:18" ht="65.25" customHeight="1" x14ac:dyDescent="0.5">
      <c r="A2" s="288" t="s">
        <v>117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s="173" customFormat="1" ht="65.25" customHeight="1" x14ac:dyDescent="0.5">
      <c r="A3" s="7" t="s">
        <v>2</v>
      </c>
      <c r="B3" s="113" t="s">
        <v>3</v>
      </c>
      <c r="C3" s="114" t="s">
        <v>4</v>
      </c>
      <c r="D3" s="114" t="s">
        <v>5</v>
      </c>
      <c r="E3" s="114" t="s">
        <v>6</v>
      </c>
      <c r="F3" s="114" t="s">
        <v>7</v>
      </c>
      <c r="G3" s="114" t="s">
        <v>8</v>
      </c>
      <c r="H3" s="115" t="s">
        <v>8</v>
      </c>
      <c r="I3" s="11" t="s">
        <v>9</v>
      </c>
      <c r="J3" s="11" t="s">
        <v>48</v>
      </c>
      <c r="K3" s="557" t="s">
        <v>11</v>
      </c>
      <c r="L3" s="557"/>
      <c r="M3" s="115" t="s">
        <v>12</v>
      </c>
      <c r="N3" s="558" t="s">
        <v>13</v>
      </c>
      <c r="O3" s="558"/>
      <c r="P3" s="115" t="s">
        <v>14</v>
      </c>
      <c r="Q3" s="11" t="s">
        <v>9</v>
      </c>
    </row>
    <row r="4" spans="1:18" s="173" customFormat="1" ht="65.25" customHeight="1" thickBot="1" x14ac:dyDescent="0.55000000000000004">
      <c r="A4" s="15" t="s">
        <v>15</v>
      </c>
      <c r="B4" s="117" t="s">
        <v>16</v>
      </c>
      <c r="C4" s="118"/>
      <c r="D4" s="118"/>
      <c r="E4" s="118"/>
      <c r="F4" s="118" t="s">
        <v>17</v>
      </c>
      <c r="G4" s="118" t="s">
        <v>18</v>
      </c>
      <c r="H4" s="119" t="s">
        <v>19</v>
      </c>
      <c r="I4" s="19" t="s">
        <v>48</v>
      </c>
      <c r="J4" s="19" t="s">
        <v>21</v>
      </c>
      <c r="K4" s="118" t="s">
        <v>22</v>
      </c>
      <c r="L4" s="118" t="s">
        <v>23</v>
      </c>
      <c r="M4" s="119" t="s">
        <v>24</v>
      </c>
      <c r="N4" s="118" t="s">
        <v>25</v>
      </c>
      <c r="O4" s="118" t="s">
        <v>26</v>
      </c>
      <c r="P4" s="119"/>
      <c r="Q4" s="19" t="s">
        <v>27</v>
      </c>
    </row>
    <row r="5" spans="1:18" ht="65.25" customHeight="1" thickTop="1" x14ac:dyDescent="0.5">
      <c r="A5" s="52" t="s">
        <v>28</v>
      </c>
      <c r="B5" s="309">
        <f>'TES Valeur étape 5 base 95'!B5</f>
        <v>91</v>
      </c>
      <c r="C5" s="310">
        <f>'TES Valeur étape 5 base 95'!C5</f>
        <v>0</v>
      </c>
      <c r="D5" s="310">
        <f>'TES Valeur étape 5 base 95'!D5</f>
        <v>241</v>
      </c>
      <c r="E5" s="310">
        <f>'TES Valeur étape 5 base 95'!E5</f>
        <v>0</v>
      </c>
      <c r="F5" s="310">
        <f>'TES Valeur étape 5 base 95'!F5</f>
        <v>0</v>
      </c>
      <c r="G5" s="310">
        <f>'TES Valeur étape 5 base 95'!G5</f>
        <v>19</v>
      </c>
      <c r="H5" s="311">
        <f>'TES Valeur étape 5 base 95'!H5</f>
        <v>8</v>
      </c>
      <c r="I5" s="124">
        <f>SUM(B5:H5)</f>
        <v>359</v>
      </c>
      <c r="J5" s="524">
        <f>'TES Valeur base 2000 étape 6'!J5</f>
        <v>359</v>
      </c>
      <c r="K5" s="125">
        <f>'TES Valeur base 2000 étape 6'!K5</f>
        <v>163</v>
      </c>
      <c r="L5" s="125">
        <f>'TES Valeur base 2000 étape 6'!L5</f>
        <v>0</v>
      </c>
      <c r="M5" s="125">
        <f>'TES Valeur base 2000 étape 6'!M5</f>
        <v>4</v>
      </c>
      <c r="N5" s="125">
        <f>'TES Valeur base 2000 étape 6'!N5</f>
        <v>9</v>
      </c>
      <c r="O5" s="125">
        <f>'TES Valeur base 2000 étape 6'!O5</f>
        <v>6</v>
      </c>
      <c r="P5" s="125">
        <f>'TES Valeur base 2000 étape 6'!P5</f>
        <v>86</v>
      </c>
      <c r="Q5" s="30">
        <f t="shared" ref="Q5:Q11" si="0">SUM(K5:P5)+I5</f>
        <v>627</v>
      </c>
      <c r="R5" s="285"/>
    </row>
    <row r="6" spans="1:18" ht="65.25" customHeight="1" x14ac:dyDescent="0.5">
      <c r="A6" s="126" t="s">
        <v>4</v>
      </c>
      <c r="B6" s="312">
        <f>'TES Valeur étape 5 base 95'!B6</f>
        <v>16</v>
      </c>
      <c r="C6" s="541">
        <f>'TES Valeur base 2000 étape 6'!C6</f>
        <v>107</v>
      </c>
      <c r="D6" s="541">
        <f>'TES Valeur base 2000 étape 6'!D6</f>
        <v>101</v>
      </c>
      <c r="E6" s="541">
        <f>'TES Valeur base 2000 étape 6'!E6</f>
        <v>11</v>
      </c>
      <c r="F6" s="541">
        <f>'TES Valeur base 2000 étape 6'!F6</f>
        <v>46</v>
      </c>
      <c r="G6" s="541">
        <f>'TES Valeur base 2000 étape 6'!G6</f>
        <v>42</v>
      </c>
      <c r="H6" s="313">
        <v>30</v>
      </c>
      <c r="I6" s="131">
        <f>SUM(B6:H6)</f>
        <v>353</v>
      </c>
      <c r="J6" s="293">
        <f>'TES Valeur base 2000 étape 6'!J6</f>
        <v>353</v>
      </c>
      <c r="K6" s="125">
        <f>'TES Valeur base 2000 étape 6'!K6</f>
        <v>248</v>
      </c>
      <c r="L6" s="125">
        <f>'TES Valeur base 2000 étape 6'!L6</f>
        <v>0</v>
      </c>
      <c r="M6" s="125">
        <f>'TES Valeur base 2000 étape 6'!M6</f>
        <v>0</v>
      </c>
      <c r="N6" s="125">
        <f>'TES Valeur base 2000 étape 6'!N6</f>
        <v>0</v>
      </c>
      <c r="O6" s="125">
        <f>'TES Valeur base 2000 étape 6'!O6</f>
        <v>0</v>
      </c>
      <c r="P6" s="125">
        <f>'TES Valeur base 2000 étape 6'!P6</f>
        <v>26</v>
      </c>
      <c r="Q6" s="30">
        <f t="shared" si="0"/>
        <v>627</v>
      </c>
    </row>
    <row r="7" spans="1:18" ht="65.25" customHeight="1" x14ac:dyDescent="0.5">
      <c r="A7" s="126" t="s">
        <v>29</v>
      </c>
      <c r="B7" s="312">
        <f>'TES Valeur étape 5 base 95'!B7</f>
        <v>115</v>
      </c>
      <c r="C7" s="541">
        <f>'TES Valeur base 2000 étape 6'!C7</f>
        <v>47.316110991850216</v>
      </c>
      <c r="D7" s="541">
        <f>'TES Valeur base 2000 étape 6'!D7</f>
        <v>1470</v>
      </c>
      <c r="E7" s="541">
        <f>'TES Valeur base 2000 étape 6'!E7</f>
        <v>259</v>
      </c>
      <c r="F7" s="541">
        <f>'TES Valeur base 2000 étape 6'!F7</f>
        <v>43</v>
      </c>
      <c r="G7" s="541">
        <f>'TES Valeur base 2000 étape 6'!G7</f>
        <v>278</v>
      </c>
      <c r="H7" s="313">
        <v>174</v>
      </c>
      <c r="I7" s="131">
        <f>SUM(B7:H7)</f>
        <v>2386.3161109918501</v>
      </c>
      <c r="J7" s="293">
        <f>'TES Valeur base 2000 étape 6'!J7</f>
        <v>2361</v>
      </c>
      <c r="K7" s="314">
        <f>'TES Valeur base 2000 étape 6'!K7-25</f>
        <v>1406</v>
      </c>
      <c r="L7" s="125">
        <f>'TES Valeur base 2000 étape 6'!L7</f>
        <v>49</v>
      </c>
      <c r="M7" s="125">
        <f>'TES Valeur base 2000 étape 6'!M7</f>
        <v>472</v>
      </c>
      <c r="N7" s="125">
        <f>'TES Valeur base 2000 étape 6'!N7</f>
        <v>-2</v>
      </c>
      <c r="O7" s="125">
        <f>'TES Valeur base 2000 étape 6'!O7</f>
        <v>0</v>
      </c>
      <c r="P7" s="125">
        <f>'TES Valeur base 2000 étape 6'!P7</f>
        <v>1023</v>
      </c>
      <c r="Q7" s="30">
        <f t="shared" si="0"/>
        <v>5334.3161109918501</v>
      </c>
    </row>
    <row r="8" spans="1:18" ht="65.25" customHeight="1" x14ac:dyDescent="0.5">
      <c r="A8" s="126" t="s">
        <v>30</v>
      </c>
      <c r="B8" s="312">
        <f>'TES Valeur étape 5 base 95'!B8</f>
        <v>1</v>
      </c>
      <c r="C8" s="541">
        <f>'TES Valeur base 2000 étape 6'!C8</f>
        <v>10.51469133152227</v>
      </c>
      <c r="D8" s="541">
        <f>'TES Valeur base 2000 étape 6'!D8</f>
        <v>4</v>
      </c>
      <c r="E8" s="541">
        <f>'TES Valeur base 2000 étape 6'!E8</f>
        <v>45</v>
      </c>
      <c r="F8" s="541">
        <f>'TES Valeur base 2000 étape 6'!F8</f>
        <v>2</v>
      </c>
      <c r="G8" s="541">
        <f>'TES Valeur base 2000 étape 6'!G8</f>
        <v>21</v>
      </c>
      <c r="H8" s="313">
        <v>44</v>
      </c>
      <c r="I8" s="131">
        <f>SUM(B8:H8)</f>
        <v>127.51469133152227</v>
      </c>
      <c r="J8" s="293">
        <f>'TES Valeur base 2000 étape 6'!J8</f>
        <v>119</v>
      </c>
      <c r="K8" s="128">
        <f>'TES Valeur base 2000 étape 6'!K8</f>
        <v>29</v>
      </c>
      <c r="L8" s="125"/>
      <c r="M8" s="314">
        <f>'TES Valeur base 2000 étape 6'!M8-9</f>
        <v>583</v>
      </c>
      <c r="N8" s="125"/>
      <c r="O8" s="125">
        <v>1</v>
      </c>
      <c r="P8" s="29"/>
      <c r="Q8" s="30">
        <f t="shared" si="0"/>
        <v>740.51469133152227</v>
      </c>
    </row>
    <row r="9" spans="1:18" ht="65.25" customHeight="1" x14ac:dyDescent="0.5">
      <c r="A9" s="134" t="s">
        <v>31</v>
      </c>
      <c r="B9" s="312">
        <f>'TES Valeur étape 5 base 95'!B10</f>
        <v>16</v>
      </c>
      <c r="C9" s="541">
        <f>'TES Valeur base 2000 étape 6'!C9</f>
        <v>46.264641858697992</v>
      </c>
      <c r="D9" s="541">
        <f>'TES Valeur base 2000 étape 6'!D9</f>
        <v>641</v>
      </c>
      <c r="E9" s="541">
        <f>'TES Valeur base 2000 étape 6'!E9</f>
        <v>129</v>
      </c>
      <c r="F9" s="541">
        <f>'TES Valeur base 2000 étape 6'!F9</f>
        <v>109</v>
      </c>
      <c r="G9" s="541">
        <f>'TES Valeur base 2000 étape 6'!G9</f>
        <v>594</v>
      </c>
      <c r="H9" s="313">
        <v>113</v>
      </c>
      <c r="I9" s="136">
        <f>SUM(B9:H9)</f>
        <v>1648.264641858698</v>
      </c>
      <c r="J9" s="293">
        <f>'TES Valeur base 2000 étape 6'!J9</f>
        <v>-1723</v>
      </c>
      <c r="K9" s="315">
        <f>'TES Valeur base 2000 étape 6'!K9+52</f>
        <v>1392</v>
      </c>
      <c r="L9" s="137"/>
      <c r="M9" s="137">
        <v>94</v>
      </c>
      <c r="N9" s="137"/>
      <c r="O9" s="137"/>
      <c r="P9" s="41">
        <v>289</v>
      </c>
      <c r="Q9" s="30">
        <f t="shared" si="0"/>
        <v>3423.2646418586983</v>
      </c>
    </row>
    <row r="10" spans="1:18" ht="65.25" customHeight="1" thickBot="1" x14ac:dyDescent="0.55000000000000004">
      <c r="A10" s="126" t="s">
        <v>32</v>
      </c>
      <c r="B10" s="316">
        <v>0</v>
      </c>
      <c r="C10" s="317">
        <v>0</v>
      </c>
      <c r="D10" s="317">
        <v>0</v>
      </c>
      <c r="E10" s="317">
        <v>0</v>
      </c>
      <c r="F10" s="317">
        <v>0</v>
      </c>
      <c r="G10" s="317">
        <v>0</v>
      </c>
      <c r="H10" s="318">
        <v>0</v>
      </c>
      <c r="I10" s="319">
        <v>0</v>
      </c>
      <c r="J10" s="293">
        <f>'TES Valeur base 2000 étape 6'!J10</f>
        <v>0</v>
      </c>
      <c r="K10" s="125">
        <f>servNM!F10</f>
        <v>93</v>
      </c>
      <c r="L10" s="125">
        <f>servNM!F11</f>
        <v>1125</v>
      </c>
      <c r="M10" s="125"/>
      <c r="N10" s="125"/>
      <c r="O10" s="125"/>
      <c r="P10" s="29"/>
      <c r="Q10" s="30">
        <f t="shared" si="0"/>
        <v>1218</v>
      </c>
    </row>
    <row r="11" spans="1:18" ht="65.25" customHeight="1" thickTop="1" thickBot="1" x14ac:dyDescent="0.55000000000000004">
      <c r="A11" s="138" t="s">
        <v>33</v>
      </c>
      <c r="B11" s="316">
        <f>SUM(B5:B10)</f>
        <v>239</v>
      </c>
      <c r="C11" s="317">
        <f>SUM(C5:C10)</f>
        <v>211.09544418207048</v>
      </c>
      <c r="D11" s="317">
        <f>SUM(D5:D10)</f>
        <v>2457</v>
      </c>
      <c r="E11" s="317">
        <f>SUM(E6:E10)</f>
        <v>444</v>
      </c>
      <c r="F11" s="317">
        <f>SUM(F6:F10)</f>
        <v>200</v>
      </c>
      <c r="G11" s="317">
        <f>SUM(G5:G10)</f>
        <v>954</v>
      </c>
      <c r="H11" s="318">
        <f>SUM(H5:H10)</f>
        <v>369</v>
      </c>
      <c r="I11" s="320">
        <f>SUM(B11:H11)</f>
        <v>4874.0954441820704</v>
      </c>
      <c r="J11" s="302">
        <f>'TES Valeur base 2000 étape 6'!J11</f>
        <v>1469</v>
      </c>
      <c r="K11" s="300">
        <f t="shared" ref="K11:P11" si="1">SUM(K5:K10)</f>
        <v>3331</v>
      </c>
      <c r="L11" s="300">
        <f t="shared" si="1"/>
        <v>1174</v>
      </c>
      <c r="M11" s="300">
        <f t="shared" si="1"/>
        <v>1153</v>
      </c>
      <c r="N11" s="300">
        <f t="shared" si="1"/>
        <v>7</v>
      </c>
      <c r="O11" s="300">
        <f t="shared" si="1"/>
        <v>7</v>
      </c>
      <c r="P11" s="300">
        <f t="shared" si="1"/>
        <v>1424</v>
      </c>
      <c r="Q11" s="46">
        <f t="shared" si="0"/>
        <v>11970.09544418207</v>
      </c>
      <c r="R11" s="285"/>
    </row>
    <row r="12" spans="1:18" ht="65.25" customHeight="1" thickTop="1" thickBot="1" x14ac:dyDescent="0.55000000000000004">
      <c r="A12" s="15" t="s">
        <v>34</v>
      </c>
      <c r="B12" s="157">
        <f t="shared" ref="B12:I12" si="2">B13-B11</f>
        <v>275</v>
      </c>
      <c r="C12" s="125">
        <f t="shared" si="2"/>
        <v>184.90455581792952</v>
      </c>
      <c r="D12" s="125">
        <f t="shared" si="2"/>
        <v>862</v>
      </c>
      <c r="E12" s="125">
        <f t="shared" si="2"/>
        <v>297</v>
      </c>
      <c r="F12" s="125">
        <f t="shared" si="2"/>
        <v>892</v>
      </c>
      <c r="G12" s="125">
        <f t="shared" si="2"/>
        <v>2192</v>
      </c>
      <c r="H12" s="321">
        <f t="shared" si="2"/>
        <v>958</v>
      </c>
      <c r="I12" s="163">
        <f t="shared" si="2"/>
        <v>5660.9045558179296</v>
      </c>
      <c r="J12" s="182"/>
      <c r="K12" s="182"/>
      <c r="L12" s="182"/>
      <c r="M12" s="182"/>
      <c r="N12" s="182"/>
      <c r="O12" s="182"/>
      <c r="P12" s="186"/>
      <c r="Q12" s="186"/>
    </row>
    <row r="13" spans="1:18" ht="65.25" customHeight="1" x14ac:dyDescent="0.5">
      <c r="A13" s="52" t="s">
        <v>35</v>
      </c>
      <c r="B13" s="146">
        <v>514</v>
      </c>
      <c r="C13" s="147">
        <v>396</v>
      </c>
      <c r="D13" s="147">
        <v>3319</v>
      </c>
      <c r="E13" s="147">
        <v>741</v>
      </c>
      <c r="F13" s="147">
        <f>F16</f>
        <v>1092</v>
      </c>
      <c r="G13" s="147">
        <f>'TES Valeur étape 5 base 95'!G14</f>
        <v>3146</v>
      </c>
      <c r="H13" s="148">
        <f>servNM!F5</f>
        <v>1327</v>
      </c>
      <c r="I13" s="124">
        <f t="shared" ref="I13:I18" si="3">SUM(B13:H13)</f>
        <v>10535</v>
      </c>
      <c r="J13" s="154"/>
      <c r="K13" s="144"/>
      <c r="L13" s="144"/>
      <c r="M13" s="144"/>
      <c r="N13" s="144"/>
      <c r="O13" s="144"/>
      <c r="P13" s="51"/>
      <c r="Q13" s="145"/>
    </row>
    <row r="14" spans="1:18" ht="65.25" customHeight="1" x14ac:dyDescent="0.5">
      <c r="A14" s="126" t="s">
        <v>36</v>
      </c>
      <c r="B14" s="149">
        <v>-49</v>
      </c>
      <c r="C14" s="125"/>
      <c r="D14" s="125">
        <v>49</v>
      </c>
      <c r="E14" s="125"/>
      <c r="F14" s="125"/>
      <c r="G14" s="125"/>
      <c r="H14" s="150"/>
      <c r="I14" s="131">
        <f t="shared" si="3"/>
        <v>0</v>
      </c>
      <c r="J14" s="144"/>
      <c r="K14" s="144"/>
      <c r="L14" s="154"/>
      <c r="M14" s="144"/>
      <c r="N14" s="144"/>
      <c r="O14" s="144"/>
      <c r="P14" s="51"/>
      <c r="Q14" s="51"/>
    </row>
    <row r="15" spans="1:18" ht="65.25" customHeight="1" x14ac:dyDescent="0.5">
      <c r="A15" s="138" t="s">
        <v>37</v>
      </c>
      <c r="B15" s="151"/>
      <c r="C15" s="140"/>
      <c r="D15" s="140">
        <f>indus2!D8</f>
        <v>12</v>
      </c>
      <c r="E15" s="140"/>
      <c r="F15" s="140"/>
      <c r="G15" s="140">
        <v>97</v>
      </c>
      <c r="H15" s="152">
        <f>servNM!F6</f>
        <v>-109</v>
      </c>
      <c r="I15" s="153">
        <f t="shared" si="3"/>
        <v>0</v>
      </c>
      <c r="J15" s="520"/>
      <c r="K15" s="144"/>
      <c r="L15" s="520" t="s">
        <v>118</v>
      </c>
      <c r="M15" s="144"/>
      <c r="N15" s="144"/>
      <c r="O15" s="144"/>
      <c r="P15" s="51"/>
      <c r="Q15" s="51"/>
    </row>
    <row r="16" spans="1:18" ht="65.25" customHeight="1" x14ac:dyDescent="0.5">
      <c r="A16" s="53" t="s">
        <v>38</v>
      </c>
      <c r="B16" s="149">
        <f>SUM(B13:B15)</f>
        <v>465</v>
      </c>
      <c r="C16" s="125">
        <f>SUM(C13:C15)</f>
        <v>396</v>
      </c>
      <c r="D16" s="125">
        <f>SUM(D13:D15)</f>
        <v>3380</v>
      </c>
      <c r="E16" s="125">
        <f>SUM(E13:E15)</f>
        <v>741</v>
      </c>
      <c r="F16" s="125">
        <f>-SUM(F20:F23)</f>
        <v>1092</v>
      </c>
      <c r="G16" s="125">
        <f>SUM(G13:G15)</f>
        <v>3243</v>
      </c>
      <c r="H16" s="150">
        <f>SUM(H13:H15)</f>
        <v>1218</v>
      </c>
      <c r="I16" s="131">
        <f t="shared" si="3"/>
        <v>10535</v>
      </c>
      <c r="J16" s="144"/>
      <c r="K16" s="144"/>
      <c r="L16" s="144"/>
      <c r="M16" s="144"/>
      <c r="N16" s="144"/>
      <c r="O16" s="144"/>
      <c r="P16" s="51"/>
      <c r="Q16" s="51"/>
    </row>
    <row r="17" spans="1:19" ht="65.25" customHeight="1" x14ac:dyDescent="0.5">
      <c r="A17" s="126" t="s">
        <v>39</v>
      </c>
      <c r="B17" s="149">
        <v>52</v>
      </c>
      <c r="C17" s="125">
        <v>111</v>
      </c>
      <c r="D17" s="125">
        <v>1066</v>
      </c>
      <c r="E17" s="125"/>
      <c r="F17" s="125"/>
      <c r="G17" s="125">
        <v>179</v>
      </c>
      <c r="H17" s="125"/>
      <c r="I17" s="131">
        <f t="shared" si="3"/>
        <v>1408</v>
      </c>
      <c r="J17" s="144"/>
      <c r="K17" s="144"/>
      <c r="L17" s="144"/>
      <c r="M17" s="144"/>
      <c r="N17" s="144"/>
      <c r="O17" s="144"/>
      <c r="P17" s="51"/>
      <c r="Q17" s="51"/>
    </row>
    <row r="18" spans="1:19" ht="65.25" customHeight="1" x14ac:dyDescent="0.5">
      <c r="A18" s="126" t="s">
        <v>40</v>
      </c>
      <c r="B18" s="149">
        <f>agric!D9</f>
        <v>1</v>
      </c>
      <c r="C18" s="125"/>
      <c r="D18" s="125">
        <f>indus2!D11</f>
        <v>10</v>
      </c>
      <c r="E18" s="125"/>
      <c r="F18" s="125"/>
      <c r="G18" s="125"/>
      <c r="H18" s="125"/>
      <c r="I18" s="131">
        <f t="shared" si="3"/>
        <v>11</v>
      </c>
      <c r="J18" s="144"/>
      <c r="K18" s="144"/>
      <c r="L18" s="144"/>
      <c r="M18" s="144"/>
      <c r="N18" s="144"/>
      <c r="O18" s="144"/>
      <c r="P18" s="51"/>
      <c r="Q18" s="51"/>
    </row>
    <row r="19" spans="1:19" ht="65.25" customHeight="1" x14ac:dyDescent="0.5">
      <c r="A19" s="134" t="s">
        <v>41</v>
      </c>
      <c r="B19" s="155"/>
      <c r="C19" s="137"/>
      <c r="D19" s="137"/>
      <c r="E19" s="137"/>
      <c r="F19" s="137"/>
      <c r="G19" s="137"/>
      <c r="H19" s="137"/>
      <c r="I19" s="136"/>
      <c r="J19" s="144"/>
      <c r="K19" s="144"/>
      <c r="L19" s="144"/>
      <c r="M19" s="144"/>
      <c r="N19" s="144"/>
      <c r="O19" s="144"/>
      <c r="P19" s="51"/>
      <c r="Q19" s="51"/>
    </row>
    <row r="20" spans="1:19" ht="65.25" customHeight="1" thickBot="1" x14ac:dyDescent="0.55000000000000004">
      <c r="A20" s="53" t="s">
        <v>42</v>
      </c>
      <c r="B20" s="157">
        <v>44</v>
      </c>
      <c r="C20" s="158">
        <v>32</v>
      </c>
      <c r="D20" s="158">
        <v>306</v>
      </c>
      <c r="E20" s="60"/>
      <c r="F20" s="158">
        <f>-SUM(B20:D20)</f>
        <v>-382</v>
      </c>
      <c r="G20" s="158"/>
      <c r="H20" s="158"/>
      <c r="I20" s="159">
        <f>SUM(B20:H20)</f>
        <v>0</v>
      </c>
      <c r="J20" s="144"/>
      <c r="K20" s="144"/>
      <c r="L20" s="559"/>
      <c r="M20" s="559"/>
      <c r="N20" s="144"/>
      <c r="O20" s="144"/>
      <c r="P20" s="51"/>
      <c r="Q20" s="51"/>
    </row>
    <row r="21" spans="1:19" ht="65.25" customHeight="1" thickTop="1" x14ac:dyDescent="0.5">
      <c r="A21" s="126" t="s">
        <v>43</v>
      </c>
      <c r="B21" s="149">
        <v>81</v>
      </c>
      <c r="C21" s="125">
        <v>44</v>
      </c>
      <c r="D21" s="125">
        <v>504</v>
      </c>
      <c r="E21" s="60"/>
      <c r="F21" s="125">
        <f>-SUM(B21:D21)</f>
        <v>-629</v>
      </c>
      <c r="G21" s="125"/>
      <c r="H21" s="125"/>
      <c r="I21" s="131">
        <f>SUM(B21:H21)</f>
        <v>0</v>
      </c>
      <c r="J21" s="144"/>
      <c r="K21" s="532"/>
      <c r="L21" s="533" t="s">
        <v>202</v>
      </c>
      <c r="M21" s="534" t="s">
        <v>203</v>
      </c>
      <c r="N21" s="144"/>
      <c r="O21" s="144"/>
      <c r="P21" s="51"/>
      <c r="Q21" s="51"/>
    </row>
    <row r="22" spans="1:19" ht="65.25" customHeight="1" thickBot="1" x14ac:dyDescent="0.65">
      <c r="A22" s="126" t="s">
        <v>44</v>
      </c>
      <c r="B22" s="149">
        <v>0</v>
      </c>
      <c r="C22" s="125"/>
      <c r="D22" s="125">
        <v>37</v>
      </c>
      <c r="E22" s="60"/>
      <c r="F22" s="125">
        <f>-SUM(B22:D22)</f>
        <v>-37</v>
      </c>
      <c r="G22" s="125"/>
      <c r="H22" s="125"/>
      <c r="I22" s="131">
        <f>SUM(B22:H22)</f>
        <v>0</v>
      </c>
      <c r="J22" s="144"/>
      <c r="K22" s="538" t="s">
        <v>72</v>
      </c>
      <c r="L22" s="539">
        <f>I12+I18+I24</f>
        <v>5686.9045558179296</v>
      </c>
      <c r="M22" s="540">
        <f>Q11-I11-I17</f>
        <v>5688</v>
      </c>
      <c r="N22" s="144"/>
      <c r="O22" s="144"/>
      <c r="P22" s="144"/>
      <c r="Q22" s="51"/>
      <c r="S22" s="285"/>
    </row>
    <row r="23" spans="1:19" ht="65.25" customHeight="1" thickTop="1" x14ac:dyDescent="0.5">
      <c r="A23" s="126" t="s">
        <v>45</v>
      </c>
      <c r="B23" s="149">
        <v>13</v>
      </c>
      <c r="C23" s="125"/>
      <c r="D23" s="125">
        <v>31</v>
      </c>
      <c r="E23" s="145"/>
      <c r="F23" s="125">
        <f>-SUM(B23:D23)</f>
        <v>-44</v>
      </c>
      <c r="G23" s="125"/>
      <c r="H23" s="125"/>
      <c r="I23" s="131">
        <f>SUM(B23:H23)</f>
        <v>0</v>
      </c>
      <c r="J23" s="144"/>
      <c r="K23" s="144"/>
      <c r="L23" s="144"/>
      <c r="M23" s="144"/>
      <c r="N23" s="144"/>
      <c r="O23" s="144"/>
      <c r="P23" s="51"/>
      <c r="Q23" s="51"/>
    </row>
    <row r="24" spans="1:19" ht="65.25" customHeight="1" x14ac:dyDescent="0.5">
      <c r="A24" s="160" t="s">
        <v>46</v>
      </c>
      <c r="B24" s="155">
        <v>-29</v>
      </c>
      <c r="C24" s="137">
        <v>44</v>
      </c>
      <c r="D24" s="137"/>
      <c r="E24" s="137"/>
      <c r="F24" s="137"/>
      <c r="G24" s="137"/>
      <c r="H24" s="137"/>
      <c r="I24" s="136">
        <f>SUM(B23:H24)</f>
        <v>15</v>
      </c>
      <c r="J24" s="144"/>
      <c r="K24" s="144"/>
      <c r="L24" s="154"/>
      <c r="M24" s="144"/>
      <c r="N24" s="144"/>
      <c r="O24" s="144"/>
      <c r="P24" s="51"/>
      <c r="Q24" s="51"/>
    </row>
    <row r="25" spans="1:19" ht="65.25" customHeight="1" x14ac:dyDescent="0.5">
      <c r="A25" s="64" t="s">
        <v>47</v>
      </c>
      <c r="B25" s="161">
        <f t="shared" ref="B25:H25" si="4">SUM(B16:B24)</f>
        <v>627</v>
      </c>
      <c r="C25" s="162">
        <f t="shared" si="4"/>
        <v>627</v>
      </c>
      <c r="D25" s="162">
        <f t="shared" si="4"/>
        <v>5334</v>
      </c>
      <c r="E25" s="162">
        <f t="shared" si="4"/>
        <v>741</v>
      </c>
      <c r="F25" s="162">
        <f t="shared" si="4"/>
        <v>0</v>
      </c>
      <c r="G25" s="162">
        <f t="shared" si="4"/>
        <v>3422</v>
      </c>
      <c r="H25" s="162">
        <f t="shared" si="4"/>
        <v>1218</v>
      </c>
      <c r="I25" s="163">
        <f>SUM(B25:H25)</f>
        <v>11969</v>
      </c>
      <c r="J25" s="154"/>
      <c r="K25" s="144"/>
      <c r="L25" s="154"/>
      <c r="M25" s="144"/>
      <c r="N25" s="144"/>
      <c r="O25" s="144"/>
      <c r="P25" s="51"/>
      <c r="Q25" s="51"/>
    </row>
    <row r="26" spans="1:19" ht="65.25" customHeight="1" x14ac:dyDescent="0.5">
      <c r="A26" s="193"/>
      <c r="C26" s="114"/>
      <c r="D26" s="114"/>
      <c r="E26" s="114"/>
      <c r="F26" s="114"/>
      <c r="G26" s="114"/>
      <c r="J26" s="5"/>
      <c r="K26" s="5"/>
      <c r="L26" s="5"/>
      <c r="M26" s="5"/>
      <c r="N26" s="5"/>
      <c r="O26" s="5"/>
    </row>
    <row r="27" spans="1:19" ht="65.25" customHeight="1" x14ac:dyDescent="0.5">
      <c r="A27" s="193"/>
      <c r="C27" s="308"/>
      <c r="D27" s="308"/>
      <c r="E27" s="308"/>
      <c r="F27" s="308"/>
      <c r="G27" s="308"/>
    </row>
    <row r="28" spans="1:19" ht="65.25" customHeight="1" x14ac:dyDescent="0.5">
      <c r="C28" s="308"/>
      <c r="D28" s="308"/>
      <c r="E28" s="308"/>
      <c r="F28" s="308"/>
      <c r="G28" s="308"/>
    </row>
    <row r="29" spans="1:19" ht="65.25" customHeight="1" x14ac:dyDescent="0.5">
      <c r="C29" s="308"/>
      <c r="D29" s="308"/>
      <c r="E29" s="308"/>
      <c r="F29" s="308"/>
      <c r="G29" s="308"/>
    </row>
    <row r="30" spans="1:19" ht="65.25" customHeight="1" x14ac:dyDescent="0.5">
      <c r="C30" s="308"/>
      <c r="D30" s="308"/>
      <c r="E30" s="308"/>
      <c r="F30" s="308"/>
      <c r="G30" s="308"/>
    </row>
    <row r="31" spans="1:19" ht="65.25" customHeight="1" x14ac:dyDescent="0.5">
      <c r="C31" s="308"/>
      <c r="D31" s="308"/>
      <c r="E31" s="308"/>
      <c r="F31" s="308"/>
      <c r="G31" s="308"/>
    </row>
  </sheetData>
  <sheetProtection selectLockedCells="1" selectUnlockedCells="1"/>
  <mergeCells count="4">
    <mergeCell ref="A1:P1"/>
    <mergeCell ref="K3:L3"/>
    <mergeCell ref="N3:O3"/>
    <mergeCell ref="L20:M20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2002&amp;C&amp;16Exercice TES         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75" zoomScaleNormal="75" workbookViewId="0">
      <selection activeCell="A13" sqref="A13:IV13"/>
    </sheetView>
  </sheetViews>
  <sheetFormatPr baseColWidth="10" defaultColWidth="11.44140625" defaultRowHeight="28.35" customHeight="1" x14ac:dyDescent="0.2"/>
  <cols>
    <col min="1" max="1" width="44.33203125" style="322" customWidth="1"/>
    <col min="2" max="6" width="10.6640625" style="322" customWidth="1"/>
    <col min="7" max="10" width="12.6640625" style="322" customWidth="1"/>
    <col min="11" max="16384" width="11.44140625" style="322"/>
  </cols>
  <sheetData>
    <row r="1" spans="1:10" ht="28.35" customHeight="1" x14ac:dyDescent="0.4">
      <c r="A1" s="542" t="s">
        <v>204</v>
      </c>
      <c r="B1" s="323"/>
      <c r="C1" s="323"/>
      <c r="D1" s="323"/>
      <c r="E1" s="324"/>
      <c r="F1" s="324"/>
      <c r="G1" s="324"/>
      <c r="H1" s="324"/>
      <c r="I1" s="324"/>
      <c r="J1" s="324"/>
    </row>
    <row r="2" spans="1:10" ht="28.35" customHeight="1" x14ac:dyDescent="0.25">
      <c r="A2" s="325"/>
      <c r="B2" s="325"/>
      <c r="C2" s="325"/>
      <c r="D2" s="325"/>
      <c r="E2" s="326"/>
      <c r="F2" s="326"/>
      <c r="G2" s="326"/>
      <c r="H2" s="326"/>
      <c r="I2" s="326"/>
      <c r="J2" s="326"/>
    </row>
    <row r="3" spans="1:10" ht="28.35" customHeight="1" x14ac:dyDescent="0.25">
      <c r="A3" s="327"/>
      <c r="B3" s="327"/>
      <c r="C3" s="560" t="s">
        <v>119</v>
      </c>
      <c r="D3" s="560"/>
      <c r="E3" s="560"/>
      <c r="F3" s="560"/>
      <c r="G3" s="561" t="s">
        <v>120</v>
      </c>
      <c r="H3" s="561"/>
      <c r="I3" s="561"/>
      <c r="J3" s="561"/>
    </row>
    <row r="4" spans="1:10" ht="53.1" customHeight="1" x14ac:dyDescent="0.35">
      <c r="A4" s="328"/>
      <c r="B4" s="329" t="s">
        <v>121</v>
      </c>
      <c r="C4" s="330" t="s">
        <v>122</v>
      </c>
      <c r="D4" s="330" t="s">
        <v>123</v>
      </c>
      <c r="E4" s="330" t="s">
        <v>124</v>
      </c>
      <c r="F4" s="331" t="s">
        <v>125</v>
      </c>
      <c r="G4" s="332" t="s">
        <v>126</v>
      </c>
      <c r="H4" s="333" t="s">
        <v>127</v>
      </c>
      <c r="I4" s="333" t="s">
        <v>126</v>
      </c>
      <c r="J4" s="334" t="s">
        <v>127</v>
      </c>
    </row>
    <row r="5" spans="1:10" ht="28.35" customHeight="1" x14ac:dyDescent="0.4">
      <c r="A5" s="335" t="s">
        <v>128</v>
      </c>
      <c r="B5" s="336">
        <v>475</v>
      </c>
      <c r="C5" s="337">
        <v>103.7</v>
      </c>
      <c r="D5" s="338">
        <v>493</v>
      </c>
      <c r="E5" s="337">
        <v>104.3</v>
      </c>
      <c r="F5" s="339">
        <v>514</v>
      </c>
      <c r="G5" s="340"/>
      <c r="H5" s="341"/>
      <c r="I5" s="341"/>
      <c r="J5" s="342"/>
    </row>
    <row r="6" spans="1:10" ht="28.35" customHeight="1" x14ac:dyDescent="0.35">
      <c r="A6" s="343" t="s">
        <v>129</v>
      </c>
      <c r="B6" s="344">
        <v>-44</v>
      </c>
      <c r="C6" s="345">
        <v>106</v>
      </c>
      <c r="D6" s="346">
        <f>ROUND(B6*C6/100,0)</f>
        <v>-47</v>
      </c>
      <c r="E6" s="345">
        <v>105</v>
      </c>
      <c r="F6" s="347">
        <f>ROUND(D6*E6/100,0)</f>
        <v>-49</v>
      </c>
      <c r="G6" s="348"/>
      <c r="H6" s="349"/>
      <c r="I6" s="349"/>
      <c r="J6" s="350"/>
    </row>
    <row r="7" spans="1:10" ht="28.35" customHeight="1" x14ac:dyDescent="0.4">
      <c r="A7" s="351" t="s">
        <v>130</v>
      </c>
      <c r="B7" s="352">
        <f>SUM(B5:B6)</f>
        <v>431</v>
      </c>
      <c r="C7" s="353">
        <f>D7*100/B7</f>
        <v>103.48027842227378</v>
      </c>
      <c r="D7" s="354">
        <f>SUM(D5:D6)</f>
        <v>446</v>
      </c>
      <c r="E7" s="353">
        <f>F7*100/D7</f>
        <v>104.26008968609865</v>
      </c>
      <c r="F7" s="355">
        <f>SUM(F5:F6)</f>
        <v>465</v>
      </c>
      <c r="G7" s="356"/>
      <c r="H7" s="357"/>
      <c r="I7" s="357"/>
      <c r="J7" s="358"/>
    </row>
    <row r="8" spans="1:10" ht="28.35" customHeight="1" x14ac:dyDescent="0.35">
      <c r="A8" s="359" t="s">
        <v>39</v>
      </c>
      <c r="B8" s="359">
        <v>49</v>
      </c>
      <c r="C8" s="360">
        <f>D8*100/B8</f>
        <v>104.08163265306122</v>
      </c>
      <c r="D8" s="359">
        <v>51</v>
      </c>
      <c r="E8" s="360">
        <v>101</v>
      </c>
      <c r="F8" s="359">
        <v>52</v>
      </c>
      <c r="G8" s="361"/>
      <c r="H8" s="362"/>
      <c r="I8" s="362"/>
      <c r="J8" s="363"/>
    </row>
    <row r="9" spans="1:10" ht="28.35" customHeight="1" x14ac:dyDescent="0.35">
      <c r="A9" s="359" t="s">
        <v>40</v>
      </c>
      <c r="B9" s="359">
        <v>1</v>
      </c>
      <c r="C9" s="360">
        <f>C8</f>
        <v>104.08163265306122</v>
      </c>
      <c r="D9" s="359">
        <v>1</v>
      </c>
      <c r="E9" s="360">
        <f>E8</f>
        <v>101</v>
      </c>
      <c r="F9" s="359">
        <v>1</v>
      </c>
      <c r="G9" s="361"/>
      <c r="H9" s="362"/>
      <c r="I9" s="362"/>
      <c r="J9" s="363"/>
    </row>
    <row r="10" spans="1:10" ht="28.35" customHeight="1" x14ac:dyDescent="0.35">
      <c r="A10" s="359" t="s">
        <v>131</v>
      </c>
      <c r="B10" s="359">
        <v>44</v>
      </c>
      <c r="C10" s="360">
        <f>C15</f>
        <v>98.033707865168537</v>
      </c>
      <c r="D10" s="359">
        <v>43</v>
      </c>
      <c r="E10" s="360">
        <f>E15</f>
        <v>102.86532951289398</v>
      </c>
      <c r="F10" s="359">
        <v>44</v>
      </c>
      <c r="G10" s="361"/>
      <c r="H10" s="362"/>
      <c r="I10" s="362"/>
      <c r="J10" s="363"/>
    </row>
    <row r="11" spans="1:10" ht="28.35" customHeight="1" x14ac:dyDescent="0.35">
      <c r="A11" s="359" t="s">
        <v>132</v>
      </c>
      <c r="B11" s="359">
        <v>76</v>
      </c>
      <c r="C11" s="360">
        <f>C16</f>
        <v>101.9</v>
      </c>
      <c r="D11" s="359">
        <v>77</v>
      </c>
      <c r="E11" s="360">
        <f>E16</f>
        <v>104.3</v>
      </c>
      <c r="F11" s="359">
        <v>81</v>
      </c>
      <c r="G11" s="361"/>
      <c r="H11" s="362"/>
      <c r="I11" s="362"/>
      <c r="J11" s="363"/>
    </row>
    <row r="12" spans="1:10" ht="28.35" customHeight="1" x14ac:dyDescent="0.35">
      <c r="A12" s="359" t="s">
        <v>133</v>
      </c>
      <c r="B12" s="359">
        <v>12</v>
      </c>
      <c r="C12" s="360">
        <f>C20</f>
        <v>103.84615384615384</v>
      </c>
      <c r="D12" s="359">
        <v>12</v>
      </c>
      <c r="E12" s="360">
        <f>E20</f>
        <v>106.3</v>
      </c>
      <c r="F12" s="359">
        <v>13</v>
      </c>
      <c r="G12" s="361"/>
      <c r="H12" s="362"/>
      <c r="I12" s="362"/>
      <c r="J12" s="363"/>
    </row>
    <row r="13" spans="1:10" ht="28.35" customHeight="1" x14ac:dyDescent="0.35">
      <c r="A13" s="364" t="s">
        <v>134</v>
      </c>
      <c r="B13" s="364">
        <v>-28</v>
      </c>
      <c r="C13" s="360">
        <v>100.9</v>
      </c>
      <c r="D13" s="364">
        <v>-28</v>
      </c>
      <c r="E13" s="360">
        <v>104.1</v>
      </c>
      <c r="F13" s="364">
        <v>-29</v>
      </c>
      <c r="G13" s="348"/>
      <c r="H13" s="349"/>
      <c r="I13" s="349"/>
      <c r="J13" s="350"/>
    </row>
    <row r="14" spans="1:10" ht="28.35" customHeight="1" x14ac:dyDescent="0.35">
      <c r="A14" s="359" t="s">
        <v>47</v>
      </c>
      <c r="B14" s="359">
        <f>SUM(B7:B13)</f>
        <v>585</v>
      </c>
      <c r="C14" s="360">
        <f>D14*100/B14</f>
        <v>102.90598290598291</v>
      </c>
      <c r="D14" s="359">
        <f>SUM(D7:D13)</f>
        <v>602</v>
      </c>
      <c r="E14" s="360">
        <f>F14*100/D14</f>
        <v>104.15282392026577</v>
      </c>
      <c r="F14" s="359">
        <f>SUM(F7:F13)</f>
        <v>627</v>
      </c>
      <c r="G14" s="365"/>
      <c r="H14" s="366"/>
      <c r="I14" s="366"/>
      <c r="J14" s="367"/>
    </row>
    <row r="15" spans="1:10" ht="28.35" customHeight="1" x14ac:dyDescent="0.35">
      <c r="A15" s="359" t="s">
        <v>135</v>
      </c>
      <c r="B15" s="359">
        <v>356</v>
      </c>
      <c r="C15" s="360">
        <f>D15*100/B15</f>
        <v>98.033707865168537</v>
      </c>
      <c r="D15" s="359">
        <v>349</v>
      </c>
      <c r="E15" s="360">
        <f>F15*100/D15</f>
        <v>102.86532951289398</v>
      </c>
      <c r="F15" s="359">
        <v>359</v>
      </c>
      <c r="G15" s="361"/>
      <c r="H15" s="362"/>
      <c r="I15" s="362"/>
      <c r="J15" s="363"/>
    </row>
    <row r="16" spans="1:10" ht="28.35" customHeight="1" x14ac:dyDescent="0.35">
      <c r="A16" s="359" t="s">
        <v>136</v>
      </c>
      <c r="B16" s="359">
        <v>153</v>
      </c>
      <c r="C16" s="360">
        <v>101.9</v>
      </c>
      <c r="D16" s="359">
        <v>156</v>
      </c>
      <c r="E16" s="360">
        <v>104.3</v>
      </c>
      <c r="F16" s="359">
        <v>163</v>
      </c>
      <c r="G16" s="361"/>
      <c r="H16" s="362"/>
      <c r="I16" s="362"/>
      <c r="J16" s="363"/>
    </row>
    <row r="17" spans="1:10" ht="28.35" customHeight="1" x14ac:dyDescent="0.35">
      <c r="A17" s="359" t="s">
        <v>12</v>
      </c>
      <c r="B17" s="359">
        <v>3</v>
      </c>
      <c r="C17" s="360"/>
      <c r="D17" s="359">
        <v>4</v>
      </c>
      <c r="E17" s="360"/>
      <c r="F17" s="359">
        <v>4</v>
      </c>
      <c r="G17" s="361"/>
      <c r="H17" s="362"/>
      <c r="I17" s="362"/>
      <c r="J17" s="363"/>
    </row>
    <row r="18" spans="1:10" ht="28.35" customHeight="1" x14ac:dyDescent="0.35">
      <c r="A18" s="359" t="s">
        <v>137</v>
      </c>
      <c r="B18" s="359">
        <v>-3</v>
      </c>
      <c r="C18" s="360"/>
      <c r="D18" s="359">
        <v>8</v>
      </c>
      <c r="E18" s="360"/>
      <c r="F18" s="359">
        <v>9</v>
      </c>
      <c r="G18" s="361"/>
      <c r="H18" s="362"/>
      <c r="I18" s="362"/>
      <c r="J18" s="363"/>
    </row>
    <row r="19" spans="1:10" ht="28.35" customHeight="1" x14ac:dyDescent="0.35">
      <c r="A19" s="359" t="s">
        <v>138</v>
      </c>
      <c r="B19" s="359">
        <f>B14-B15-B16-B17-B18-B20</f>
        <v>-2</v>
      </c>
      <c r="C19" s="360"/>
      <c r="D19" s="359">
        <v>4</v>
      </c>
      <c r="E19" s="360"/>
      <c r="F19" s="359">
        <v>6</v>
      </c>
      <c r="G19" s="361"/>
      <c r="H19" s="362"/>
      <c r="I19" s="362"/>
      <c r="J19" s="363"/>
    </row>
    <row r="20" spans="1:10" ht="28.35" customHeight="1" x14ac:dyDescent="0.35">
      <c r="A20" s="359" t="s">
        <v>139</v>
      </c>
      <c r="B20" s="359">
        <v>78</v>
      </c>
      <c r="C20" s="360">
        <f>D20*100/B20</f>
        <v>103.84615384615384</v>
      </c>
      <c r="D20" s="359">
        <f>D21-D15-D16-D17-D18-D19</f>
        <v>81</v>
      </c>
      <c r="E20" s="360">
        <v>106.3</v>
      </c>
      <c r="F20" s="359">
        <f>F21-F15-F16-F17-F18-F19</f>
        <v>86</v>
      </c>
      <c r="G20" s="361"/>
      <c r="H20" s="362"/>
      <c r="I20" s="362"/>
      <c r="J20" s="363"/>
    </row>
    <row r="21" spans="1:10" ht="28.35" customHeight="1" x14ac:dyDescent="0.35">
      <c r="A21" s="359" t="s">
        <v>140</v>
      </c>
      <c r="B21" s="359">
        <f>B14</f>
        <v>585</v>
      </c>
      <c r="C21" s="360">
        <f>D21*100/B21</f>
        <v>102.90598290598291</v>
      </c>
      <c r="D21" s="359">
        <f>D14</f>
        <v>602</v>
      </c>
      <c r="E21" s="360">
        <f>F21*100/D21</f>
        <v>104.15282392026577</v>
      </c>
      <c r="F21" s="359">
        <f>F14</f>
        <v>627</v>
      </c>
      <c r="G21" s="365"/>
      <c r="H21" s="366"/>
      <c r="I21" s="366"/>
      <c r="J21" s="367"/>
    </row>
    <row r="24" spans="1:10" ht="28.35" customHeight="1" x14ac:dyDescent="0.35">
      <c r="A24" s="359"/>
      <c r="B24" s="359" t="s">
        <v>121</v>
      </c>
      <c r="C24" s="360" t="s">
        <v>122</v>
      </c>
      <c r="D24" s="359" t="s">
        <v>123</v>
      </c>
      <c r="E24" s="360" t="s">
        <v>124</v>
      </c>
      <c r="F24" s="359" t="s">
        <v>125</v>
      </c>
    </row>
    <row r="25" spans="1:10" ht="28.35" customHeight="1" x14ac:dyDescent="0.35">
      <c r="A25" s="359" t="s">
        <v>141</v>
      </c>
      <c r="B25" s="359">
        <v>434</v>
      </c>
      <c r="C25" s="360" t="s">
        <v>142</v>
      </c>
      <c r="D25" s="359">
        <v>438</v>
      </c>
      <c r="E25" s="360" t="s">
        <v>143</v>
      </c>
      <c r="F25" s="359">
        <v>456</v>
      </c>
    </row>
    <row r="26" spans="1:10" ht="28.35" customHeight="1" x14ac:dyDescent="0.35">
      <c r="A26" s="359" t="s">
        <v>137</v>
      </c>
      <c r="B26" s="359">
        <v>-3</v>
      </c>
      <c r="C26" s="360"/>
      <c r="D26" s="359">
        <v>8</v>
      </c>
      <c r="E26" s="360"/>
      <c r="F26" s="359">
        <v>9</v>
      </c>
    </row>
    <row r="27" spans="1:10" ht="28.35" customHeight="1" x14ac:dyDescent="0.35">
      <c r="A27" s="359" t="s">
        <v>144</v>
      </c>
      <c r="B27" s="359">
        <f>B25+B26</f>
        <v>431</v>
      </c>
      <c r="C27" s="360"/>
      <c r="D27" s="359">
        <f>D25+D26</f>
        <v>446</v>
      </c>
      <c r="E27" s="360"/>
      <c r="F27" s="359">
        <f>F25+F26</f>
        <v>465</v>
      </c>
    </row>
    <row r="29" spans="1:10" ht="28.35" customHeight="1" x14ac:dyDescent="0.35">
      <c r="A29" s="359"/>
      <c r="B29" s="359" t="s">
        <v>121</v>
      </c>
      <c r="C29" s="360" t="s">
        <v>145</v>
      </c>
      <c r="D29" s="359" t="s">
        <v>123</v>
      </c>
      <c r="E29" s="360" t="s">
        <v>146</v>
      </c>
      <c r="F29" s="359" t="s">
        <v>125</v>
      </c>
    </row>
    <row r="30" spans="1:10" ht="28.35" customHeight="1" x14ac:dyDescent="0.35">
      <c r="A30" s="359" t="s">
        <v>141</v>
      </c>
      <c r="B30" s="359">
        <v>434</v>
      </c>
      <c r="C30" s="360" t="s">
        <v>142</v>
      </c>
      <c r="D30" s="359">
        <v>438</v>
      </c>
      <c r="E30" s="360" t="s">
        <v>143</v>
      </c>
      <c r="F30" s="359">
        <v>456</v>
      </c>
    </row>
    <row r="31" spans="1:10" ht="28.35" customHeight="1" x14ac:dyDescent="0.35">
      <c r="A31" s="359" t="s">
        <v>147</v>
      </c>
      <c r="B31" s="359">
        <v>-28</v>
      </c>
      <c r="C31" s="360"/>
      <c r="D31" s="359">
        <v>-28</v>
      </c>
      <c r="E31" s="360"/>
      <c r="F31" s="359">
        <v>-29</v>
      </c>
    </row>
  </sheetData>
  <sheetProtection selectLockedCells="1" selectUnlockedCells="1"/>
  <mergeCells count="2">
    <mergeCell ref="C3:F3"/>
    <mergeCell ref="G3:J3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2002&amp;CCorrigé ERE ,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75" zoomScaleNormal="75" workbookViewId="0">
      <selection activeCell="D20" sqref="D20"/>
    </sheetView>
  </sheetViews>
  <sheetFormatPr baseColWidth="10" defaultColWidth="11" defaultRowHeight="13.2" x14ac:dyDescent="0.25"/>
  <cols>
    <col min="1" max="1" width="45.44140625" customWidth="1"/>
    <col min="2" max="6" width="10.6640625" customWidth="1"/>
    <col min="7" max="10" width="12.6640625" customWidth="1"/>
  </cols>
  <sheetData>
    <row r="1" spans="1:10" ht="24.6" x14ac:dyDescent="0.4">
      <c r="A1" s="542" t="s">
        <v>205</v>
      </c>
      <c r="B1" s="370"/>
      <c r="C1" s="370"/>
      <c r="D1" s="370"/>
      <c r="E1" s="371"/>
      <c r="F1" s="370"/>
      <c r="G1" s="370"/>
      <c r="H1" s="370"/>
      <c r="I1" s="370"/>
      <c r="J1" s="370"/>
    </row>
    <row r="2" spans="1:10" ht="25.2" thickBot="1" x14ac:dyDescent="0.45">
      <c r="A2" s="372"/>
      <c r="B2" s="370"/>
      <c r="C2" s="370"/>
      <c r="D2" s="370"/>
      <c r="E2" s="371"/>
      <c r="F2" s="370"/>
      <c r="G2" s="370"/>
      <c r="H2" s="370"/>
      <c r="I2" s="370"/>
      <c r="J2" s="370"/>
    </row>
    <row r="3" spans="1:10" ht="23.1" customHeight="1" thickBot="1" x14ac:dyDescent="0.45">
      <c r="A3" s="373"/>
      <c r="B3" s="562"/>
      <c r="C3" s="562" t="s">
        <v>119</v>
      </c>
      <c r="D3" s="562"/>
      <c r="E3" s="562"/>
      <c r="F3" s="513"/>
      <c r="G3" s="562" t="s">
        <v>120</v>
      </c>
      <c r="H3" s="562"/>
      <c r="I3" s="562"/>
      <c r="J3" s="562"/>
    </row>
    <row r="4" spans="1:10" s="110" customFormat="1" ht="23.1" customHeight="1" thickTop="1" x14ac:dyDescent="0.35">
      <c r="A4" s="374"/>
      <c r="B4" s="375" t="s">
        <v>148</v>
      </c>
      <c r="C4" s="376" t="s">
        <v>126</v>
      </c>
      <c r="D4" s="376" t="s">
        <v>127</v>
      </c>
      <c r="E4" s="377" t="s">
        <v>126</v>
      </c>
      <c r="F4" s="375" t="s">
        <v>127</v>
      </c>
      <c r="G4" s="375" t="s">
        <v>126</v>
      </c>
      <c r="H4" s="376" t="s">
        <v>127</v>
      </c>
      <c r="I4" s="376" t="s">
        <v>126</v>
      </c>
      <c r="J4" s="377" t="s">
        <v>127</v>
      </c>
    </row>
    <row r="5" spans="1:10" s="110" customFormat="1" ht="23.1" customHeight="1" thickBot="1" x14ac:dyDescent="0.4">
      <c r="A5" s="362"/>
      <c r="B5" s="378" t="s">
        <v>121</v>
      </c>
      <c r="C5" s="379" t="s">
        <v>122</v>
      </c>
      <c r="D5" s="379" t="s">
        <v>123</v>
      </c>
      <c r="E5" s="380" t="s">
        <v>124</v>
      </c>
      <c r="F5" s="378" t="s">
        <v>125</v>
      </c>
      <c r="G5" s="378" t="s">
        <v>149</v>
      </c>
      <c r="H5" s="379" t="s">
        <v>150</v>
      </c>
      <c r="I5" s="379" t="s">
        <v>151</v>
      </c>
      <c r="J5" s="380" t="s">
        <v>152</v>
      </c>
    </row>
    <row r="6" spans="1:10" s="110" customFormat="1" ht="23.1" customHeight="1" thickTop="1" x14ac:dyDescent="0.4">
      <c r="A6" s="381" t="s">
        <v>153</v>
      </c>
      <c r="B6" s="381">
        <f>B11-SUM(B7:B10)</f>
        <v>366</v>
      </c>
      <c r="C6" s="382">
        <v>104.4</v>
      </c>
      <c r="D6" s="382">
        <v>382</v>
      </c>
      <c r="E6" s="383">
        <f>F6*100/D6</f>
        <v>103.66492146596859</v>
      </c>
      <c r="F6" s="381">
        <f>F11-F10-F9-F8-F7</f>
        <v>396</v>
      </c>
      <c r="G6" s="381"/>
      <c r="H6" s="382"/>
      <c r="I6" s="382"/>
      <c r="J6" s="383"/>
    </row>
    <row r="7" spans="1:10" s="110" customFormat="1" ht="23.1" customHeight="1" x14ac:dyDescent="0.4">
      <c r="A7" s="381" t="s">
        <v>39</v>
      </c>
      <c r="B7" s="381">
        <v>90</v>
      </c>
      <c r="C7" s="382">
        <f>D7*100/B7</f>
        <v>102.22222222222223</v>
      </c>
      <c r="D7" s="382">
        <v>92</v>
      </c>
      <c r="E7" s="383">
        <v>120.6</v>
      </c>
      <c r="F7" s="381">
        <v>111</v>
      </c>
      <c r="G7" s="381"/>
      <c r="H7" s="382"/>
      <c r="I7" s="382"/>
      <c r="J7" s="383"/>
    </row>
    <row r="8" spans="1:10" s="110" customFormat="1" ht="23.1" customHeight="1" x14ac:dyDescent="0.4">
      <c r="A8" s="381" t="s">
        <v>154</v>
      </c>
      <c r="B8" s="381">
        <v>28</v>
      </c>
      <c r="C8" s="382">
        <v>105.1</v>
      </c>
      <c r="D8" s="382">
        <v>29</v>
      </c>
      <c r="E8" s="383">
        <v>107.3</v>
      </c>
      <c r="F8" s="381">
        <v>32</v>
      </c>
      <c r="G8" s="381"/>
      <c r="H8" s="382"/>
      <c r="I8" s="382"/>
      <c r="J8" s="383"/>
    </row>
    <row r="9" spans="1:10" s="110" customFormat="1" ht="23.1" customHeight="1" x14ac:dyDescent="0.4">
      <c r="A9" s="381" t="s">
        <v>155</v>
      </c>
      <c r="B9" s="381">
        <v>41</v>
      </c>
      <c r="C9" s="382">
        <v>102.6</v>
      </c>
      <c r="D9" s="382">
        <f>ROUND(C9*B9/100,0)</f>
        <v>42</v>
      </c>
      <c r="E9" s="383">
        <v>104.6</v>
      </c>
      <c r="F9" s="381">
        <v>44</v>
      </c>
      <c r="G9" s="381"/>
      <c r="H9" s="382"/>
      <c r="I9" s="382"/>
      <c r="J9" s="383"/>
    </row>
    <row r="10" spans="1:10" s="110" customFormat="1" ht="23.1" customHeight="1" x14ac:dyDescent="0.4">
      <c r="A10" s="381" t="s">
        <v>156</v>
      </c>
      <c r="B10" s="381">
        <v>41</v>
      </c>
      <c r="C10" s="382">
        <v>104.4</v>
      </c>
      <c r="D10" s="382">
        <f>ROUND(C10*B10/100,0)</f>
        <v>43</v>
      </c>
      <c r="E10" s="384">
        <f>F10*100/D10</f>
        <v>102.32558139534883</v>
      </c>
      <c r="F10" s="381">
        <v>44</v>
      </c>
      <c r="G10" s="381"/>
      <c r="H10" s="382"/>
      <c r="I10" s="382"/>
      <c r="J10" s="384"/>
    </row>
    <row r="11" spans="1:10" s="110" customFormat="1" ht="23.1" customHeight="1" thickBot="1" x14ac:dyDescent="0.45">
      <c r="A11" s="385" t="s">
        <v>47</v>
      </c>
      <c r="B11" s="385">
        <f>SUM(B12:B14)</f>
        <v>566</v>
      </c>
      <c r="C11" s="386">
        <f>D11*100/B11</f>
        <v>103.886925795053</v>
      </c>
      <c r="D11" s="386">
        <f>D15</f>
        <v>588</v>
      </c>
      <c r="E11" s="387">
        <f>F11*100/D11</f>
        <v>106.63265306122449</v>
      </c>
      <c r="F11" s="385">
        <f>F15</f>
        <v>627</v>
      </c>
      <c r="G11" s="385"/>
      <c r="H11" s="386"/>
      <c r="I11" s="386"/>
      <c r="J11" s="387"/>
    </row>
    <row r="12" spans="1:10" s="110" customFormat="1" ht="23.1" customHeight="1" thickTop="1" x14ac:dyDescent="0.4">
      <c r="A12" s="381" t="s">
        <v>135</v>
      </c>
      <c r="B12" s="381">
        <v>312</v>
      </c>
      <c r="C12" s="382">
        <f>D12*100/B12</f>
        <v>105.12820512820512</v>
      </c>
      <c r="D12" s="382">
        <v>328</v>
      </c>
      <c r="E12" s="383">
        <f>F12*100/D12</f>
        <v>107.6219512195122</v>
      </c>
      <c r="F12" s="381">
        <v>353</v>
      </c>
      <c r="G12" s="381"/>
      <c r="H12" s="382"/>
      <c r="I12" s="382"/>
      <c r="J12" s="383"/>
    </row>
    <row r="13" spans="1:10" s="110" customFormat="1" ht="23.1" customHeight="1" x14ac:dyDescent="0.4">
      <c r="A13" s="381" t="s">
        <v>157</v>
      </c>
      <c r="B13" s="381">
        <v>231</v>
      </c>
      <c r="C13" s="382">
        <v>102.6</v>
      </c>
      <c r="D13" s="382">
        <v>237</v>
      </c>
      <c r="E13" s="383">
        <v>104.6</v>
      </c>
      <c r="F13" s="381">
        <v>248</v>
      </c>
      <c r="G13" s="381"/>
      <c r="H13" s="382"/>
      <c r="I13" s="382"/>
      <c r="J13" s="383"/>
    </row>
    <row r="14" spans="1:10" s="110" customFormat="1" ht="23.1" customHeight="1" x14ac:dyDescent="0.4">
      <c r="A14" s="381" t="s">
        <v>139</v>
      </c>
      <c r="B14" s="381">
        <v>23</v>
      </c>
      <c r="C14" s="382">
        <f>D14*100/B14</f>
        <v>100</v>
      </c>
      <c r="D14" s="382">
        <v>23</v>
      </c>
      <c r="E14" s="383">
        <v>112</v>
      </c>
      <c r="F14" s="381">
        <v>26</v>
      </c>
      <c r="G14" s="381"/>
      <c r="H14" s="382"/>
      <c r="I14" s="382"/>
      <c r="J14" s="383"/>
    </row>
    <row r="15" spans="1:10" s="110" customFormat="1" ht="23.1" customHeight="1" thickBot="1" x14ac:dyDescent="0.45">
      <c r="A15" s="385" t="s">
        <v>140</v>
      </c>
      <c r="B15" s="385">
        <f>B11</f>
        <v>566</v>
      </c>
      <c r="C15" s="386">
        <f>D15*100/B15</f>
        <v>103.886925795053</v>
      </c>
      <c r="D15" s="386">
        <f>SUM(D12:D14)</f>
        <v>588</v>
      </c>
      <c r="E15" s="387">
        <f>F15*100/D15</f>
        <v>106.63265306122449</v>
      </c>
      <c r="F15" s="385">
        <f>SUM(F12:F14)</f>
        <v>627</v>
      </c>
      <c r="G15" s="385"/>
      <c r="H15" s="386"/>
      <c r="I15" s="386"/>
      <c r="J15" s="387"/>
    </row>
    <row r="16" spans="1:10" ht="13.8" thickTop="1" x14ac:dyDescent="0.25"/>
  </sheetData>
  <sheetProtection selectLockedCells="1" selectUnlockedCells="1"/>
  <mergeCells count="2">
    <mergeCell ref="G3:J3"/>
    <mergeCell ref="B3:E3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ctobre 2002&amp;CCorrigé ERE ,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62" zoomScaleNormal="62" workbookViewId="0">
      <selection activeCell="N22" sqref="N22"/>
    </sheetView>
  </sheetViews>
  <sheetFormatPr baseColWidth="10" defaultColWidth="11.44140625" defaultRowHeight="11.4" x14ac:dyDescent="0.2"/>
  <cols>
    <col min="1" max="1" width="32.6640625" style="322" customWidth="1"/>
    <col min="2" max="6" width="10.6640625" style="322" customWidth="1"/>
    <col min="7" max="10" width="12.6640625" style="322" customWidth="1"/>
    <col min="11" max="16384" width="11.44140625" style="322"/>
  </cols>
  <sheetData>
    <row r="1" spans="1:10" customFormat="1" ht="24.6" x14ac:dyDescent="0.4">
      <c r="A1" s="564" t="s">
        <v>166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customFormat="1" ht="25.2" thickBot="1" x14ac:dyDescent="0.45">
      <c r="A2" s="372"/>
      <c r="B2" s="388"/>
      <c r="C2" s="388"/>
      <c r="D2" s="388"/>
      <c r="E2" s="389"/>
      <c r="F2" s="388"/>
      <c r="G2" s="388"/>
      <c r="H2" s="388"/>
      <c r="I2" s="388"/>
      <c r="J2" s="388"/>
    </row>
    <row r="3" spans="1:10" customFormat="1" ht="25.2" thickBot="1" x14ac:dyDescent="0.45">
      <c r="A3" s="373"/>
      <c r="B3" s="373"/>
      <c r="C3" s="563" t="s">
        <v>167</v>
      </c>
      <c r="D3" s="563"/>
      <c r="E3" s="563"/>
      <c r="F3" s="563"/>
      <c r="G3" s="562" t="s">
        <v>120</v>
      </c>
      <c r="H3" s="562"/>
      <c r="I3" s="562"/>
      <c r="J3" s="562"/>
    </row>
    <row r="4" spans="1:10" customFormat="1" ht="21.6" thickTop="1" x14ac:dyDescent="0.4">
      <c r="A4" s="390"/>
      <c r="B4" s="391" t="s">
        <v>148</v>
      </c>
      <c r="C4" s="392" t="s">
        <v>126</v>
      </c>
      <c r="D4" s="393" t="s">
        <v>127</v>
      </c>
      <c r="E4" s="393" t="s">
        <v>126</v>
      </c>
      <c r="F4" s="394" t="s">
        <v>127</v>
      </c>
      <c r="G4" s="392" t="s">
        <v>126</v>
      </c>
      <c r="H4" s="393" t="s">
        <v>127</v>
      </c>
      <c r="I4" s="393" t="s">
        <v>126</v>
      </c>
      <c r="J4" s="394" t="s">
        <v>127</v>
      </c>
    </row>
    <row r="5" spans="1:10" customFormat="1" ht="21.6" thickBot="1" x14ac:dyDescent="0.45">
      <c r="A5" s="395"/>
      <c r="B5" s="396" t="s">
        <v>121</v>
      </c>
      <c r="C5" s="397" t="s">
        <v>122</v>
      </c>
      <c r="D5" s="398" t="s">
        <v>123</v>
      </c>
      <c r="E5" s="398" t="s">
        <v>124</v>
      </c>
      <c r="F5" s="399" t="s">
        <v>125</v>
      </c>
      <c r="G5" s="397" t="s">
        <v>149</v>
      </c>
      <c r="H5" s="398" t="s">
        <v>150</v>
      </c>
      <c r="I5" s="398" t="s">
        <v>151</v>
      </c>
      <c r="J5" s="399" t="s">
        <v>152</v>
      </c>
    </row>
    <row r="6" spans="1:10" customFormat="1" ht="24" customHeight="1" thickTop="1" x14ac:dyDescent="0.4">
      <c r="A6" s="400" t="s">
        <v>158</v>
      </c>
      <c r="B6" s="401">
        <f>3089+143+(-44)-44</f>
        <v>3144</v>
      </c>
      <c r="C6" s="402">
        <f>D6*100/B6</f>
        <v>102.19465648854961</v>
      </c>
      <c r="D6" s="403">
        <v>3213</v>
      </c>
      <c r="E6" s="404">
        <v>103.3</v>
      </c>
      <c r="F6" s="405">
        <v>3319</v>
      </c>
      <c r="G6" s="406"/>
      <c r="H6" s="403"/>
      <c r="I6" s="407"/>
      <c r="J6" s="405"/>
    </row>
    <row r="7" spans="1:10" customFormat="1" ht="22.8" x14ac:dyDescent="0.4">
      <c r="A7" s="408" t="s">
        <v>36</v>
      </c>
      <c r="B7" s="409">
        <v>44</v>
      </c>
      <c r="C7" s="410">
        <v>106</v>
      </c>
      <c r="D7" s="411">
        <v>47</v>
      </c>
      <c r="E7" s="412">
        <v>105</v>
      </c>
      <c r="F7" s="413">
        <v>49</v>
      </c>
      <c r="G7" s="414"/>
      <c r="H7" s="411"/>
      <c r="I7" s="415"/>
      <c r="J7" s="413"/>
    </row>
    <row r="8" spans="1:10" customFormat="1" ht="22.8" x14ac:dyDescent="0.4">
      <c r="A8" s="408" t="s">
        <v>37</v>
      </c>
      <c r="B8" s="409">
        <v>11</v>
      </c>
      <c r="C8" s="416">
        <f>D8*100/B8</f>
        <v>109.09090909090909</v>
      </c>
      <c r="D8" s="411">
        <v>12</v>
      </c>
      <c r="E8" s="417">
        <v>103.3</v>
      </c>
      <c r="F8" s="418">
        <v>12</v>
      </c>
      <c r="G8" s="414"/>
      <c r="H8" s="411"/>
      <c r="I8" s="415"/>
      <c r="J8" s="413"/>
    </row>
    <row r="9" spans="1:10" customFormat="1" ht="22.8" x14ac:dyDescent="0.4">
      <c r="A9" s="408" t="s">
        <v>159</v>
      </c>
      <c r="B9" s="409">
        <f>SUM(B6:B8)</f>
        <v>3199</v>
      </c>
      <c r="C9" s="416">
        <f>D9*100/B9</f>
        <v>102.28196311347295</v>
      </c>
      <c r="D9" s="411">
        <f>SUM(D6:D8)</f>
        <v>3272</v>
      </c>
      <c r="E9" s="419">
        <f>F9*100/D9</f>
        <v>103.30073349633251</v>
      </c>
      <c r="F9" s="413">
        <f>SUM(F6:F8)</f>
        <v>3380</v>
      </c>
      <c r="G9" s="414"/>
      <c r="H9" s="411"/>
      <c r="I9" s="415"/>
      <c r="J9" s="413"/>
    </row>
    <row r="10" spans="1:10" customFormat="1" ht="22.8" x14ac:dyDescent="0.4">
      <c r="A10" s="408" t="s">
        <v>39</v>
      </c>
      <c r="B10" s="409">
        <v>938</v>
      </c>
      <c r="C10" s="416">
        <f>D10*100/B10</f>
        <v>107.35607675906184</v>
      </c>
      <c r="D10" s="411">
        <f>ROUND(F10*100/E10,0)</f>
        <v>1007</v>
      </c>
      <c r="E10" s="412">
        <v>105.9</v>
      </c>
      <c r="F10" s="418">
        <v>1066</v>
      </c>
      <c r="G10" s="414"/>
      <c r="H10" s="411"/>
      <c r="I10" s="415"/>
      <c r="J10" s="413"/>
    </row>
    <row r="11" spans="1:10" customFormat="1" ht="22.8" x14ac:dyDescent="0.4">
      <c r="A11" s="408" t="s">
        <v>40</v>
      </c>
      <c r="B11" s="409">
        <v>9</v>
      </c>
      <c r="C11" s="416">
        <v>107.4</v>
      </c>
      <c r="D11" s="411">
        <f>ROUND($B$11*D10/$B$10,0)</f>
        <v>10</v>
      </c>
      <c r="E11" s="412">
        <v>105.9</v>
      </c>
      <c r="F11" s="411">
        <f>ROUND($B$11*F10/$B$10,0)</f>
        <v>10</v>
      </c>
      <c r="G11" s="414"/>
      <c r="H11" s="411"/>
      <c r="I11" s="415"/>
      <c r="J11" s="413"/>
    </row>
    <row r="12" spans="1:10" customFormat="1" ht="22.8" x14ac:dyDescent="0.4">
      <c r="A12" s="408" t="s">
        <v>160</v>
      </c>
      <c r="B12" s="409">
        <v>284</v>
      </c>
      <c r="C12" s="416">
        <f>C17</f>
        <v>103.16918576304242</v>
      </c>
      <c r="D12" s="411">
        <v>293</v>
      </c>
      <c r="E12" s="412">
        <f>E17</f>
        <v>104.30056710775047</v>
      </c>
      <c r="F12" s="413">
        <v>306</v>
      </c>
      <c r="G12" s="414"/>
      <c r="H12" s="411"/>
      <c r="I12" s="415"/>
      <c r="J12" s="413"/>
    </row>
    <row r="13" spans="1:10" customFormat="1" ht="22.8" x14ac:dyDescent="0.4">
      <c r="A13" s="408" t="s">
        <v>161</v>
      </c>
      <c r="B13" s="409">
        <v>476</v>
      </c>
      <c r="C13" s="416">
        <f>D13*100/B13</f>
        <v>102.94117647058823</v>
      </c>
      <c r="D13" s="411">
        <f>ROUND((D19+D20)*$B$13/($B$19+$B$20),0)</f>
        <v>490</v>
      </c>
      <c r="E13" s="412">
        <v>102.8</v>
      </c>
      <c r="F13" s="411">
        <f>ROUND((F19+F20)*$B$13/($B$19+$B$20),0)</f>
        <v>504</v>
      </c>
      <c r="G13" s="414"/>
      <c r="H13" s="411"/>
      <c r="I13" s="415"/>
      <c r="J13" s="413"/>
    </row>
    <row r="14" spans="1:10" customFormat="1" ht="22.8" x14ac:dyDescent="0.4">
      <c r="A14" s="408" t="s">
        <v>162</v>
      </c>
      <c r="B14" s="409">
        <v>35</v>
      </c>
      <c r="C14" s="416">
        <f>C21</f>
        <v>103.1390134529148</v>
      </c>
      <c r="D14" s="411">
        <v>36</v>
      </c>
      <c r="E14" s="412">
        <f>E21</f>
        <v>102.5</v>
      </c>
      <c r="F14" s="413">
        <v>37</v>
      </c>
      <c r="G14" s="414"/>
      <c r="H14" s="411"/>
      <c r="I14" s="415"/>
      <c r="J14" s="413"/>
    </row>
    <row r="15" spans="1:10" customFormat="1" ht="22.8" x14ac:dyDescent="0.4">
      <c r="A15" s="408" t="s">
        <v>133</v>
      </c>
      <c r="B15" s="409">
        <v>28</v>
      </c>
      <c r="C15" s="416">
        <v>106.7</v>
      </c>
      <c r="D15" s="411">
        <f>ROUND(D24*$B$15/$B$24,0)</f>
        <v>30</v>
      </c>
      <c r="E15" s="412">
        <f>E24</f>
        <v>104.9</v>
      </c>
      <c r="F15" s="411">
        <f>ROUND(F24*$B$15/$B$24,0)</f>
        <v>31</v>
      </c>
      <c r="G15" s="414"/>
      <c r="H15" s="411"/>
      <c r="I15" s="415"/>
      <c r="J15" s="413"/>
    </row>
    <row r="16" spans="1:10" customFormat="1" ht="23.4" thickBot="1" x14ac:dyDescent="0.45">
      <c r="A16" s="420" t="s">
        <v>47</v>
      </c>
      <c r="B16" s="421">
        <f>SUM(B9:B15)</f>
        <v>4969</v>
      </c>
      <c r="C16" s="422">
        <f t="shared" ref="C16:C21" si="0">D16*100/B16</f>
        <v>103.40108673777419</v>
      </c>
      <c r="D16" s="423">
        <f>SUM(D9:D15)</f>
        <v>5138</v>
      </c>
      <c r="E16" s="424">
        <f>F16*100/D16</f>
        <v>103.81471389645776</v>
      </c>
      <c r="F16" s="425">
        <f>SUM(F9:F15)</f>
        <v>5334</v>
      </c>
      <c r="G16" s="426"/>
      <c r="H16" s="423"/>
      <c r="I16" s="427"/>
      <c r="J16" s="425"/>
    </row>
    <row r="17" spans="1:10" customFormat="1" ht="23.4" thickTop="1" x14ac:dyDescent="0.4">
      <c r="A17" s="408" t="s">
        <v>135</v>
      </c>
      <c r="B17" s="409">
        <v>2051</v>
      </c>
      <c r="C17" s="416">
        <f t="shared" si="0"/>
        <v>103.16918576304242</v>
      </c>
      <c r="D17" s="411">
        <v>2116</v>
      </c>
      <c r="E17" s="419">
        <f>F17*100/D17</f>
        <v>104.30056710775047</v>
      </c>
      <c r="F17" s="413">
        <v>2207</v>
      </c>
      <c r="G17" s="416"/>
      <c r="H17" s="411"/>
      <c r="I17" s="419"/>
      <c r="J17" s="413"/>
    </row>
    <row r="18" spans="1:10" customFormat="1" ht="22.8" x14ac:dyDescent="0.4">
      <c r="A18" s="428" t="s">
        <v>163</v>
      </c>
      <c r="B18" s="429">
        <v>143</v>
      </c>
      <c r="C18" s="430">
        <f t="shared" si="0"/>
        <v>104.1958041958042</v>
      </c>
      <c r="D18" s="431">
        <f>ROUND(F18*100/E18,0)</f>
        <v>149</v>
      </c>
      <c r="E18" s="432">
        <v>103.3</v>
      </c>
      <c r="F18" s="433">
        <v>154</v>
      </c>
      <c r="G18" s="430"/>
      <c r="H18" s="431"/>
      <c r="I18" s="432"/>
      <c r="J18" s="434"/>
    </row>
    <row r="19" spans="1:10" customFormat="1" ht="22.8" x14ac:dyDescent="0.4">
      <c r="A19" s="408" t="s">
        <v>164</v>
      </c>
      <c r="B19" s="409">
        <v>1353</v>
      </c>
      <c r="C19" s="416">
        <f t="shared" si="0"/>
        <v>102.88248337028824</v>
      </c>
      <c r="D19" s="411">
        <f>ROUND(F19*100/E19,0)</f>
        <v>1392</v>
      </c>
      <c r="E19" s="412">
        <v>102.8</v>
      </c>
      <c r="F19" s="413">
        <f>ROUND(B19*105.8/100,0)</f>
        <v>1431</v>
      </c>
      <c r="G19" s="416"/>
      <c r="H19" s="411"/>
      <c r="I19" s="412"/>
      <c r="J19" s="413"/>
    </row>
    <row r="20" spans="1:10" customFormat="1" ht="22.8" x14ac:dyDescent="0.4">
      <c r="A20" s="428" t="s">
        <v>165</v>
      </c>
      <c r="B20" s="409">
        <v>45</v>
      </c>
      <c r="C20" s="430">
        <f t="shared" si="0"/>
        <v>106.66666666666667</v>
      </c>
      <c r="D20" s="411">
        <f>ROUND(F20*100/E20,0)</f>
        <v>48</v>
      </c>
      <c r="E20" s="432">
        <v>102.8</v>
      </c>
      <c r="F20" s="434">
        <v>49</v>
      </c>
      <c r="G20" s="416"/>
      <c r="H20" s="411"/>
      <c r="I20" s="412"/>
      <c r="J20" s="434"/>
    </row>
    <row r="21" spans="1:10" customFormat="1" ht="22.8" x14ac:dyDescent="0.4">
      <c r="A21" s="408" t="s">
        <v>12</v>
      </c>
      <c r="B21" s="409">
        <v>446</v>
      </c>
      <c r="C21" s="416">
        <f t="shared" si="0"/>
        <v>103.1390134529148</v>
      </c>
      <c r="D21" s="411">
        <v>460</v>
      </c>
      <c r="E21" s="412">
        <v>102.5</v>
      </c>
      <c r="F21" s="413">
        <v>472</v>
      </c>
      <c r="G21" s="416"/>
      <c r="H21" s="411"/>
      <c r="I21" s="412"/>
      <c r="J21" s="413"/>
    </row>
    <row r="22" spans="1:10" customFormat="1" ht="22.8" x14ac:dyDescent="0.4">
      <c r="A22" s="408" t="s">
        <v>137</v>
      </c>
      <c r="B22" s="409">
        <v>9</v>
      </c>
      <c r="C22" s="416"/>
      <c r="D22" s="411">
        <v>-2</v>
      </c>
      <c r="E22" s="419"/>
      <c r="F22" s="413">
        <v>-2</v>
      </c>
      <c r="G22" s="416"/>
      <c r="H22" s="411"/>
      <c r="I22" s="419"/>
      <c r="J22" s="413"/>
    </row>
    <row r="23" spans="1:10" customFormat="1" ht="22.8" x14ac:dyDescent="0.4">
      <c r="A23" s="408" t="s">
        <v>138</v>
      </c>
      <c r="B23" s="409">
        <v>8</v>
      </c>
      <c r="C23" s="416"/>
      <c r="D23" s="411">
        <v>0</v>
      </c>
      <c r="E23" s="419"/>
      <c r="F23" s="413">
        <v>0</v>
      </c>
      <c r="G23" s="416"/>
      <c r="H23" s="411"/>
      <c r="I23" s="419"/>
      <c r="J23" s="413"/>
    </row>
    <row r="24" spans="1:10" customFormat="1" ht="22.8" x14ac:dyDescent="0.4">
      <c r="A24" s="408" t="s">
        <v>139</v>
      </c>
      <c r="B24" s="409">
        <v>914</v>
      </c>
      <c r="C24" s="416">
        <f>D24*100/B24</f>
        <v>106.67396061269146</v>
      </c>
      <c r="D24" s="411">
        <f>ROUND(F24*100/E24,0)</f>
        <v>975</v>
      </c>
      <c r="E24" s="412">
        <v>104.9</v>
      </c>
      <c r="F24" s="418">
        <v>1023</v>
      </c>
      <c r="G24" s="416"/>
      <c r="H24" s="411"/>
      <c r="I24" s="412"/>
      <c r="J24" s="413"/>
    </row>
    <row r="25" spans="1:10" customFormat="1" ht="23.4" thickBot="1" x14ac:dyDescent="0.45">
      <c r="A25" s="420" t="s">
        <v>140</v>
      </c>
      <c r="B25" s="421">
        <f>B16</f>
        <v>4969</v>
      </c>
      <c r="C25" s="422">
        <f>D25*100/B25</f>
        <v>103.40108673777419</v>
      </c>
      <c r="D25" s="423">
        <f>D16</f>
        <v>5138</v>
      </c>
      <c r="E25" s="424">
        <f>F25*100/D25</f>
        <v>103.81471389645776</v>
      </c>
      <c r="F25" s="425">
        <f>F16</f>
        <v>5334</v>
      </c>
      <c r="G25" s="422"/>
      <c r="H25" s="423"/>
      <c r="I25" s="424"/>
      <c r="J25" s="425"/>
    </row>
    <row r="26" spans="1:10" ht="12" thickTop="1" x14ac:dyDescent="0.2"/>
  </sheetData>
  <sheetProtection selectLockedCells="1" selectUnlockedCells="1"/>
  <mergeCells count="3">
    <mergeCell ref="C3:F3"/>
    <mergeCell ref="G3:J3"/>
    <mergeCell ref="A1:J1"/>
  </mergeCells>
  <phoneticPr fontId="0" type="noConversion"/>
  <printOptions horizontalCentered="1" gridLines="1"/>
  <pageMargins left="0.39374999999999999" right="0.39374999999999999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&amp;C&amp;A</oddHeader>
    <oddFooter>&amp;LStage CN octobre 2002&amp;CCorrigé ERE ,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62" zoomScaleNormal="62" workbookViewId="0">
      <selection activeCell="C3" sqref="C3:F3"/>
    </sheetView>
  </sheetViews>
  <sheetFormatPr baseColWidth="10" defaultColWidth="11" defaultRowHeight="13.2" x14ac:dyDescent="0.25"/>
  <cols>
    <col min="1" max="1" width="49.109375" customWidth="1"/>
    <col min="2" max="10" width="12.6640625" customWidth="1"/>
  </cols>
  <sheetData>
    <row r="1" spans="1:10" ht="24.6" x14ac:dyDescent="0.4">
      <c r="A1" s="564" t="s">
        <v>166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24.6" x14ac:dyDescent="0.4">
      <c r="A2" s="372"/>
      <c r="B2" s="388"/>
      <c r="C2" s="388"/>
      <c r="D2" s="388"/>
      <c r="E2" s="389"/>
      <c r="F2" s="388"/>
      <c r="G2" s="388"/>
      <c r="H2" s="388"/>
      <c r="I2" s="388"/>
      <c r="J2" s="388"/>
    </row>
    <row r="3" spans="1:10" ht="24.6" x14ac:dyDescent="0.4">
      <c r="A3" s="373"/>
      <c r="B3" s="373"/>
      <c r="C3" s="563" t="s">
        <v>167</v>
      </c>
      <c r="D3" s="563"/>
      <c r="E3" s="563"/>
      <c r="F3" s="563"/>
      <c r="G3" s="562" t="s">
        <v>120</v>
      </c>
      <c r="H3" s="562"/>
      <c r="I3" s="562"/>
      <c r="J3" s="562"/>
    </row>
    <row r="4" spans="1:10" ht="21" x14ac:dyDescent="0.4">
      <c r="A4" s="390"/>
      <c r="B4" s="391" t="s">
        <v>148</v>
      </c>
      <c r="C4" s="392" t="s">
        <v>126</v>
      </c>
      <c r="D4" s="393" t="s">
        <v>127</v>
      </c>
      <c r="E4" s="393" t="s">
        <v>126</v>
      </c>
      <c r="F4" s="394" t="s">
        <v>127</v>
      </c>
      <c r="G4" s="392" t="s">
        <v>126</v>
      </c>
      <c r="H4" s="393" t="s">
        <v>127</v>
      </c>
      <c r="I4" s="393" t="s">
        <v>126</v>
      </c>
      <c r="J4" s="394" t="s">
        <v>127</v>
      </c>
    </row>
    <row r="5" spans="1:10" ht="21" x14ac:dyDescent="0.4">
      <c r="A5" s="395"/>
      <c r="B5" s="396" t="s">
        <v>168</v>
      </c>
      <c r="C5" s="397" t="s">
        <v>149</v>
      </c>
      <c r="D5" s="398" t="s">
        <v>150</v>
      </c>
      <c r="E5" s="398" t="s">
        <v>151</v>
      </c>
      <c r="F5" s="399" t="s">
        <v>152</v>
      </c>
      <c r="G5" s="397" t="s">
        <v>149</v>
      </c>
      <c r="H5" s="398" t="s">
        <v>150</v>
      </c>
      <c r="I5" s="398" t="s">
        <v>151</v>
      </c>
      <c r="J5" s="399" t="s">
        <v>152</v>
      </c>
    </row>
    <row r="6" spans="1:10" ht="24" customHeight="1" x14ac:dyDescent="0.4">
      <c r="A6" s="400" t="s">
        <v>158</v>
      </c>
      <c r="B6" s="401">
        <f>3089+143+(-44)-44</f>
        <v>3144</v>
      </c>
      <c r="C6" s="402">
        <f>D6*100/B6</f>
        <v>102.19465648854961</v>
      </c>
      <c r="D6" s="403">
        <v>3213</v>
      </c>
      <c r="E6" s="404">
        <v>103.3</v>
      </c>
      <c r="F6" s="405">
        <v>3319</v>
      </c>
      <c r="G6" s="406"/>
      <c r="H6" s="403"/>
      <c r="I6" s="407"/>
      <c r="J6" s="405"/>
    </row>
    <row r="7" spans="1:10" ht="22.8" x14ac:dyDescent="0.4">
      <c r="A7" s="408" t="s">
        <v>36</v>
      </c>
      <c r="B7" s="409">
        <v>44</v>
      </c>
      <c r="C7" s="410">
        <v>106</v>
      </c>
      <c r="D7" s="411">
        <v>47</v>
      </c>
      <c r="E7" s="412">
        <v>105</v>
      </c>
      <c r="F7" s="413">
        <v>49</v>
      </c>
      <c r="G7" s="414"/>
      <c r="H7" s="411"/>
      <c r="I7" s="415"/>
      <c r="J7" s="413"/>
    </row>
    <row r="8" spans="1:10" ht="22.8" x14ac:dyDescent="0.4">
      <c r="A8" s="408" t="s">
        <v>37</v>
      </c>
      <c r="B8" s="409">
        <v>11</v>
      </c>
      <c r="C8" s="416">
        <f>D8*100/B8</f>
        <v>109.09090909090909</v>
      </c>
      <c r="D8" s="411">
        <v>12</v>
      </c>
      <c r="E8" s="417">
        <v>103.3</v>
      </c>
      <c r="F8" s="418">
        <v>12</v>
      </c>
      <c r="G8" s="414"/>
      <c r="H8" s="411"/>
      <c r="I8" s="415"/>
      <c r="J8" s="413"/>
    </row>
    <row r="9" spans="1:10" ht="22.8" x14ac:dyDescent="0.4">
      <c r="A9" s="408" t="s">
        <v>159</v>
      </c>
      <c r="B9" s="409">
        <f>SUM(B6:B8)</f>
        <v>3199</v>
      </c>
      <c r="C9" s="416">
        <f>D9*100/B9</f>
        <v>102.28196311347295</v>
      </c>
      <c r="D9" s="411">
        <f>SUM(D6:D8)</f>
        <v>3272</v>
      </c>
      <c r="E9" s="419">
        <f>F9*100/D9</f>
        <v>103.30073349633251</v>
      </c>
      <c r="F9" s="413">
        <f>SUM(F6:F8)</f>
        <v>3380</v>
      </c>
      <c r="G9" s="414"/>
      <c r="H9" s="411"/>
      <c r="I9" s="415"/>
      <c r="J9" s="413"/>
    </row>
    <row r="10" spans="1:10" ht="22.8" x14ac:dyDescent="0.4">
      <c r="A10" s="408" t="s">
        <v>39</v>
      </c>
      <c r="B10" s="409">
        <v>938</v>
      </c>
      <c r="C10" s="416">
        <f>D10*100/B10</f>
        <v>107.35607675906184</v>
      </c>
      <c r="D10" s="411">
        <f>ROUND(F10*100/E10,0)</f>
        <v>1007</v>
      </c>
      <c r="E10" s="412">
        <v>105.9</v>
      </c>
      <c r="F10" s="418">
        <v>1066</v>
      </c>
      <c r="G10" s="414"/>
      <c r="H10" s="411"/>
      <c r="I10" s="415"/>
      <c r="J10" s="413"/>
    </row>
    <row r="11" spans="1:10" ht="22.8" x14ac:dyDescent="0.4">
      <c r="A11" s="408" t="s">
        <v>40</v>
      </c>
      <c r="B11" s="409">
        <v>9</v>
      </c>
      <c r="C11" s="416">
        <v>107.4</v>
      </c>
      <c r="D11" s="411">
        <f>ROUND($B$11*D10/$B$10,0)</f>
        <v>10</v>
      </c>
      <c r="E11" s="412">
        <v>105.9</v>
      </c>
      <c r="F11" s="411">
        <f>ROUND($B$11*F10/$B$10,0)</f>
        <v>10</v>
      </c>
      <c r="G11" s="414"/>
      <c r="H11" s="411"/>
      <c r="I11" s="415"/>
      <c r="J11" s="413"/>
    </row>
    <row r="12" spans="1:10" ht="22.8" x14ac:dyDescent="0.4">
      <c r="A12" s="408" t="s">
        <v>160</v>
      </c>
      <c r="B12" s="409">
        <v>284</v>
      </c>
      <c r="C12" s="416">
        <f>C17</f>
        <v>103.16918576304242</v>
      </c>
      <c r="D12" s="411">
        <v>293</v>
      </c>
      <c r="E12" s="412">
        <f>E17</f>
        <v>104.30056710775047</v>
      </c>
      <c r="F12" s="413">
        <v>306</v>
      </c>
      <c r="G12" s="414"/>
      <c r="H12" s="411"/>
      <c r="I12" s="415"/>
      <c r="J12" s="413"/>
    </row>
    <row r="13" spans="1:10" ht="22.8" x14ac:dyDescent="0.4">
      <c r="A13" s="408" t="s">
        <v>161</v>
      </c>
      <c r="B13" s="409">
        <v>476</v>
      </c>
      <c r="C13" s="416">
        <f>D13*100/B13</f>
        <v>102.94117647058823</v>
      </c>
      <c r="D13" s="411">
        <f>ROUND((D19+D20)*$B$13/($B$19+$B$20),0)</f>
        <v>490</v>
      </c>
      <c r="E13" s="412">
        <v>102.8</v>
      </c>
      <c r="F13" s="411">
        <f>ROUND((F19+F20)*$B$13/($B$19+$B$20),0)</f>
        <v>504</v>
      </c>
      <c r="G13" s="414"/>
      <c r="H13" s="411"/>
      <c r="I13" s="415"/>
      <c r="J13" s="413"/>
    </row>
    <row r="14" spans="1:10" ht="22.8" x14ac:dyDescent="0.4">
      <c r="A14" s="408" t="s">
        <v>162</v>
      </c>
      <c r="B14" s="409">
        <v>35</v>
      </c>
      <c r="C14" s="416">
        <f>C21</f>
        <v>103.1390134529148</v>
      </c>
      <c r="D14" s="411">
        <v>36</v>
      </c>
      <c r="E14" s="412">
        <f>E21</f>
        <v>102.5</v>
      </c>
      <c r="F14" s="413">
        <v>37</v>
      </c>
      <c r="G14" s="414"/>
      <c r="H14" s="411"/>
      <c r="I14" s="415"/>
      <c r="J14" s="413"/>
    </row>
    <row r="15" spans="1:10" ht="22.8" x14ac:dyDescent="0.4">
      <c r="A15" s="408" t="s">
        <v>133</v>
      </c>
      <c r="B15" s="409">
        <v>28</v>
      </c>
      <c r="C15" s="416">
        <v>106.7</v>
      </c>
      <c r="D15" s="411">
        <f>ROUND(D24*$B$15/$B$24,0)</f>
        <v>30</v>
      </c>
      <c r="E15" s="412">
        <f>E24</f>
        <v>104.9</v>
      </c>
      <c r="F15" s="411">
        <f>ROUND(F24*$B$15/$B$24,0)</f>
        <v>31</v>
      </c>
      <c r="G15" s="414"/>
      <c r="H15" s="411"/>
      <c r="I15" s="415"/>
      <c r="J15" s="413"/>
    </row>
    <row r="16" spans="1:10" ht="22.8" x14ac:dyDescent="0.4">
      <c r="A16" s="420" t="s">
        <v>47</v>
      </c>
      <c r="B16" s="421">
        <f>SUM(B9:B15)</f>
        <v>4969</v>
      </c>
      <c r="C16" s="422">
        <f t="shared" ref="C16:C21" si="0">D16*100/B16</f>
        <v>103.40108673777419</v>
      </c>
      <c r="D16" s="423">
        <f>SUM(D9:D15)</f>
        <v>5138</v>
      </c>
      <c r="E16" s="424">
        <f>F16*100/D16</f>
        <v>103.81471389645776</v>
      </c>
      <c r="F16" s="425">
        <f>SUM(F9:F15)</f>
        <v>5334</v>
      </c>
      <c r="G16" s="426"/>
      <c r="H16" s="423"/>
      <c r="I16" s="427"/>
      <c r="J16" s="425"/>
    </row>
    <row r="17" spans="1:10" ht="22.8" x14ac:dyDescent="0.4">
      <c r="A17" s="408" t="s">
        <v>135</v>
      </c>
      <c r="B17" s="409">
        <v>2051</v>
      </c>
      <c r="C17" s="416">
        <f t="shared" si="0"/>
        <v>103.16918576304242</v>
      </c>
      <c r="D17" s="411">
        <v>2116</v>
      </c>
      <c r="E17" s="419">
        <f>F17*100/D17</f>
        <v>104.30056710775047</v>
      </c>
      <c r="F17" s="413">
        <v>2207</v>
      </c>
      <c r="G17" s="416"/>
      <c r="H17" s="411">
        <f>'TES Valeur étape 4 base 95'!I7-D18</f>
        <v>2221</v>
      </c>
      <c r="I17" s="419">
        <f>E17</f>
        <v>104.30056710775047</v>
      </c>
      <c r="J17" s="413">
        <f t="shared" ref="J17:J22" si="1">ROUND(F17*H17/D17,0)</f>
        <v>2317</v>
      </c>
    </row>
    <row r="18" spans="1:10" ht="22.8" x14ac:dyDescent="0.4">
      <c r="A18" s="428" t="s">
        <v>163</v>
      </c>
      <c r="B18" s="429">
        <v>143</v>
      </c>
      <c r="C18" s="430">
        <f t="shared" si="0"/>
        <v>104.1958041958042</v>
      </c>
      <c r="D18" s="431">
        <f>ROUND(F18*100/E18,0)</f>
        <v>149</v>
      </c>
      <c r="E18" s="432">
        <v>103.3</v>
      </c>
      <c r="F18" s="433">
        <v>154</v>
      </c>
      <c r="G18" s="430"/>
      <c r="H18" s="431">
        <f>D18</f>
        <v>149</v>
      </c>
      <c r="I18" s="432">
        <f>E18</f>
        <v>103.3</v>
      </c>
      <c r="J18" s="434">
        <f t="shared" si="1"/>
        <v>154</v>
      </c>
    </row>
    <row r="19" spans="1:10" ht="22.8" x14ac:dyDescent="0.4">
      <c r="A19" s="408" t="s">
        <v>164</v>
      </c>
      <c r="B19" s="409">
        <v>1353</v>
      </c>
      <c r="C19" s="416">
        <f t="shared" si="0"/>
        <v>102.88248337028824</v>
      </c>
      <c r="D19" s="411">
        <f>ROUND(F19*100/E19,0)</f>
        <v>1392</v>
      </c>
      <c r="E19" s="412">
        <v>102.8</v>
      </c>
      <c r="F19" s="413">
        <f>ROUND(B19*105.8/100,0)</f>
        <v>1431</v>
      </c>
      <c r="G19" s="416"/>
      <c r="H19" s="411">
        <f>'TES Valeur étape 4 base 95'!K7</f>
        <v>1431</v>
      </c>
      <c r="I19" s="412">
        <f>E19</f>
        <v>102.8</v>
      </c>
      <c r="J19" s="413">
        <f t="shared" si="1"/>
        <v>1471</v>
      </c>
    </row>
    <row r="20" spans="1:10" ht="22.8" x14ac:dyDescent="0.4">
      <c r="A20" s="428" t="s">
        <v>165</v>
      </c>
      <c r="B20" s="409">
        <v>45</v>
      </c>
      <c r="C20" s="430">
        <f t="shared" si="0"/>
        <v>106.66666666666667</v>
      </c>
      <c r="D20" s="411">
        <f>ROUND(F20*100/E20,0)</f>
        <v>48</v>
      </c>
      <c r="E20" s="432">
        <v>102.8</v>
      </c>
      <c r="F20" s="434">
        <v>49</v>
      </c>
      <c r="G20" s="416"/>
      <c r="H20" s="411">
        <f>'TES Valeur étape 4 base 95'!L7</f>
        <v>49</v>
      </c>
      <c r="I20" s="412">
        <f>E20</f>
        <v>102.8</v>
      </c>
      <c r="J20" s="434">
        <f t="shared" si="1"/>
        <v>50</v>
      </c>
    </row>
    <row r="21" spans="1:10" ht="22.8" x14ac:dyDescent="0.4">
      <c r="A21" s="408" t="s">
        <v>12</v>
      </c>
      <c r="B21" s="409">
        <v>446</v>
      </c>
      <c r="C21" s="416">
        <f t="shared" si="0"/>
        <v>103.1390134529148</v>
      </c>
      <c r="D21" s="411">
        <v>460</v>
      </c>
      <c r="E21" s="412">
        <v>102.5</v>
      </c>
      <c r="F21" s="413">
        <v>472</v>
      </c>
      <c r="G21" s="416"/>
      <c r="H21" s="411">
        <f>'TES Valeur étape 4 base 95'!M7</f>
        <v>472</v>
      </c>
      <c r="I21" s="412">
        <f>E21</f>
        <v>102.5</v>
      </c>
      <c r="J21" s="413">
        <f t="shared" si="1"/>
        <v>484</v>
      </c>
    </row>
    <row r="22" spans="1:10" ht="22.8" x14ac:dyDescent="0.4">
      <c r="A22" s="408" t="s">
        <v>137</v>
      </c>
      <c r="B22" s="409">
        <v>9</v>
      </c>
      <c r="C22" s="416"/>
      <c r="D22" s="411">
        <v>-2</v>
      </c>
      <c r="E22" s="419"/>
      <c r="F22" s="413">
        <v>-2</v>
      </c>
      <c r="G22" s="416"/>
      <c r="H22" s="411">
        <f>'TES Valeur étape 4 base 95'!N7</f>
        <v>-2</v>
      </c>
      <c r="I22" s="419"/>
      <c r="J22" s="413">
        <f t="shared" si="1"/>
        <v>-2</v>
      </c>
    </row>
    <row r="23" spans="1:10" ht="22.8" x14ac:dyDescent="0.4">
      <c r="A23" s="408" t="s">
        <v>138</v>
      </c>
      <c r="B23" s="409">
        <v>8</v>
      </c>
      <c r="C23" s="416"/>
      <c r="D23" s="411">
        <v>0</v>
      </c>
      <c r="E23" s="419"/>
      <c r="F23" s="413">
        <v>0</v>
      </c>
      <c r="G23" s="416"/>
      <c r="H23" s="411">
        <f>'TES Valeur étape 4 base 95'!O7</f>
        <v>0</v>
      </c>
      <c r="I23" s="419"/>
      <c r="J23" s="413">
        <v>0</v>
      </c>
    </row>
    <row r="24" spans="1:10" ht="22.8" x14ac:dyDescent="0.4">
      <c r="A24" s="408" t="s">
        <v>139</v>
      </c>
      <c r="B24" s="409">
        <v>914</v>
      </c>
      <c r="C24" s="416">
        <f>D24*100/B24</f>
        <v>106.67396061269146</v>
      </c>
      <c r="D24" s="411">
        <f>ROUND(F24*100/E24,0)</f>
        <v>975</v>
      </c>
      <c r="E24" s="412">
        <v>104.9</v>
      </c>
      <c r="F24" s="418">
        <v>1023</v>
      </c>
      <c r="G24" s="416"/>
      <c r="H24" s="411">
        <f>'TES Valeur étape 4 base 95'!P7</f>
        <v>1023</v>
      </c>
      <c r="I24" s="412">
        <f>E24</f>
        <v>104.9</v>
      </c>
      <c r="J24" s="413">
        <f>ROUND(F24*H24/D24,0)</f>
        <v>1073</v>
      </c>
    </row>
    <row r="25" spans="1:10" ht="22.8" x14ac:dyDescent="0.4">
      <c r="A25" s="420" t="s">
        <v>140</v>
      </c>
      <c r="B25" s="421">
        <f>B16</f>
        <v>4969</v>
      </c>
      <c r="C25" s="422">
        <f>D25*100/B25</f>
        <v>103.40108673777419</v>
      </c>
      <c r="D25" s="423">
        <f>D16</f>
        <v>5138</v>
      </c>
      <c r="E25" s="424">
        <f>F25*100/D25</f>
        <v>103.81471389645776</v>
      </c>
      <c r="F25" s="425">
        <f>F16</f>
        <v>5334</v>
      </c>
      <c r="G25" s="422"/>
      <c r="H25" s="423">
        <f>SUM(H17:H24)</f>
        <v>5343</v>
      </c>
      <c r="I25" s="424">
        <f>J25*100/H25</f>
        <v>103.81807973048849</v>
      </c>
      <c r="J25" s="425">
        <f>SUM(J17:J24)</f>
        <v>5547</v>
      </c>
    </row>
  </sheetData>
  <sheetProtection selectLockedCells="1" selectUnlockedCells="1"/>
  <mergeCells count="3">
    <mergeCell ref="A1:J1"/>
    <mergeCell ref="C3:F3"/>
    <mergeCell ref="G3:J3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2002&amp;CCorrigé ERE ,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62" zoomScaleNormal="62" workbookViewId="0">
      <selection activeCell="H26" sqref="H26"/>
    </sheetView>
  </sheetViews>
  <sheetFormatPr baseColWidth="10" defaultColWidth="11" defaultRowHeight="13.2" x14ac:dyDescent="0.25"/>
  <cols>
    <col min="1" max="1" width="32.6640625" customWidth="1"/>
    <col min="2" max="6" width="10.6640625" customWidth="1"/>
    <col min="7" max="10" width="12.6640625" customWidth="1"/>
  </cols>
  <sheetData>
    <row r="1" spans="1:10" s="322" customFormat="1" ht="25.2" thickBot="1" x14ac:dyDescent="0.45">
      <c r="A1" s="564" t="s">
        <v>171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s="322" customFormat="1" ht="23.1" customHeight="1" thickBot="1" x14ac:dyDescent="0.45">
      <c r="A2" s="435"/>
      <c r="B2" s="373"/>
      <c r="C2" s="563" t="s">
        <v>167</v>
      </c>
      <c r="D2" s="563"/>
      <c r="E2" s="563"/>
      <c r="F2" s="563"/>
      <c r="G2" s="562" t="s">
        <v>120</v>
      </c>
      <c r="H2" s="562"/>
      <c r="I2" s="562"/>
      <c r="J2" s="562"/>
    </row>
    <row r="3" spans="1:10" s="322" customFormat="1" ht="23.1" customHeight="1" thickTop="1" x14ac:dyDescent="0.4">
      <c r="A3" s="390"/>
      <c r="B3" s="391" t="s">
        <v>148</v>
      </c>
      <c r="C3" s="392" t="s">
        <v>126</v>
      </c>
      <c r="D3" s="393" t="s">
        <v>127</v>
      </c>
      <c r="E3" s="393" t="s">
        <v>126</v>
      </c>
      <c r="F3" s="394" t="s">
        <v>127</v>
      </c>
      <c r="G3" s="392" t="s">
        <v>126</v>
      </c>
      <c r="H3" s="393" t="s">
        <v>127</v>
      </c>
      <c r="I3" s="393" t="s">
        <v>126</v>
      </c>
      <c r="J3" s="394" t="s">
        <v>127</v>
      </c>
    </row>
    <row r="4" spans="1:10" s="322" customFormat="1" ht="23.1" customHeight="1" thickBot="1" x14ac:dyDescent="0.45">
      <c r="A4" s="395"/>
      <c r="B4" s="396" t="s">
        <v>121</v>
      </c>
      <c r="C4" s="397" t="s">
        <v>122</v>
      </c>
      <c r="D4" s="398" t="s">
        <v>123</v>
      </c>
      <c r="E4" s="398" t="s">
        <v>124</v>
      </c>
      <c r="F4" s="399" t="s">
        <v>125</v>
      </c>
      <c r="G4" s="397" t="s">
        <v>149</v>
      </c>
      <c r="H4" s="398" t="s">
        <v>150</v>
      </c>
      <c r="I4" s="398" t="s">
        <v>151</v>
      </c>
      <c r="J4" s="399" t="s">
        <v>152</v>
      </c>
    </row>
    <row r="5" spans="1:10" s="322" customFormat="1" ht="23.1" customHeight="1" thickTop="1" x14ac:dyDescent="0.4">
      <c r="A5" s="436" t="s">
        <v>158</v>
      </c>
      <c r="B5" s="437">
        <f>679+39-34</f>
        <v>684</v>
      </c>
      <c r="C5" s="402">
        <f t="shared" ref="C5:C11" si="0">D5*100/B5</f>
        <v>104.23976608187135</v>
      </c>
      <c r="D5" s="407">
        <v>713</v>
      </c>
      <c r="E5" s="438">
        <f>F5*100/D5</f>
        <v>103.92706872370266</v>
      </c>
      <c r="F5" s="439">
        <v>741</v>
      </c>
      <c r="G5" s="406"/>
      <c r="H5" s="407"/>
      <c r="I5" s="407"/>
      <c r="J5" s="439"/>
    </row>
    <row r="6" spans="1:10" s="322" customFormat="1" ht="23.1" customHeight="1" x14ac:dyDescent="0.4">
      <c r="A6" s="440" t="s">
        <v>159</v>
      </c>
      <c r="B6" s="441">
        <f>(B5)</f>
        <v>684</v>
      </c>
      <c r="C6" s="416">
        <f t="shared" si="0"/>
        <v>104.23976608187135</v>
      </c>
      <c r="D6" s="415">
        <f>D5</f>
        <v>713</v>
      </c>
      <c r="E6" s="419">
        <f>F6*100/D6</f>
        <v>103.92706872370266</v>
      </c>
      <c r="F6" s="442">
        <f>F5</f>
        <v>741</v>
      </c>
      <c r="G6" s="414"/>
      <c r="H6" s="415"/>
      <c r="I6" s="415"/>
      <c r="J6" s="442"/>
    </row>
    <row r="7" spans="1:10" s="322" customFormat="1" ht="23.1" customHeight="1" thickBot="1" x14ac:dyDescent="0.45">
      <c r="A7" s="420" t="s">
        <v>47</v>
      </c>
      <c r="B7" s="443">
        <f>(B6)</f>
        <v>684</v>
      </c>
      <c r="C7" s="422">
        <f t="shared" si="0"/>
        <v>104.23976608187135</v>
      </c>
      <c r="D7" s="427">
        <f>D5</f>
        <v>713</v>
      </c>
      <c r="E7" s="424">
        <f>F7*100/D7</f>
        <v>103.92706872370266</v>
      </c>
      <c r="F7" s="444">
        <f>F5</f>
        <v>741</v>
      </c>
      <c r="G7" s="426"/>
      <c r="H7" s="427"/>
      <c r="I7" s="427"/>
      <c r="J7" s="444"/>
    </row>
    <row r="8" spans="1:10" s="322" customFormat="1" ht="23.1" customHeight="1" thickTop="1" x14ac:dyDescent="0.4">
      <c r="A8" s="440" t="s">
        <v>135</v>
      </c>
      <c r="B8" s="441">
        <v>71</v>
      </c>
      <c r="C8" s="416">
        <f t="shared" si="0"/>
        <v>104.22535211267606</v>
      </c>
      <c r="D8" s="415">
        <v>74</v>
      </c>
      <c r="E8" s="419">
        <f>F8*100/D8</f>
        <v>104.05405405405405</v>
      </c>
      <c r="F8" s="442">
        <v>77</v>
      </c>
      <c r="G8" s="414"/>
      <c r="H8" s="411"/>
      <c r="I8" s="415"/>
      <c r="J8" s="442"/>
    </row>
    <row r="9" spans="1:10" s="322" customFormat="1" ht="23.1" customHeight="1" x14ac:dyDescent="0.4">
      <c r="A9" s="440" t="s">
        <v>169</v>
      </c>
      <c r="B9" s="445">
        <v>39</v>
      </c>
      <c r="C9" s="430">
        <f t="shared" si="0"/>
        <v>102.56410256410257</v>
      </c>
      <c r="D9" s="446">
        <f>ROUND(F9*100/E9,0)</f>
        <v>40</v>
      </c>
      <c r="E9" s="432">
        <v>104</v>
      </c>
      <c r="F9" s="447">
        <v>42</v>
      </c>
      <c r="G9" s="448"/>
      <c r="H9" s="446"/>
      <c r="I9" s="432"/>
      <c r="J9" s="449"/>
    </row>
    <row r="10" spans="1:10" s="322" customFormat="1" ht="23.1" customHeight="1" x14ac:dyDescent="0.4">
      <c r="A10" s="440" t="s">
        <v>136</v>
      </c>
      <c r="B10" s="441">
        <v>27</v>
      </c>
      <c r="C10" s="416">
        <f t="shared" si="0"/>
        <v>103.70370370370371</v>
      </c>
      <c r="D10" s="415">
        <f>ROUND(F10*100/E10,0)</f>
        <v>28</v>
      </c>
      <c r="E10" s="412">
        <v>103.5</v>
      </c>
      <c r="F10" s="442">
        <v>29</v>
      </c>
      <c r="G10" s="414"/>
      <c r="H10" s="411"/>
      <c r="I10" s="412"/>
      <c r="J10" s="442"/>
    </row>
    <row r="11" spans="1:10" s="322" customFormat="1" ht="23.1" customHeight="1" x14ac:dyDescent="0.4">
      <c r="A11" s="440" t="s">
        <v>12</v>
      </c>
      <c r="B11" s="441">
        <f>580-34</f>
        <v>546</v>
      </c>
      <c r="C11" s="416">
        <f t="shared" si="0"/>
        <v>104.39560439560439</v>
      </c>
      <c r="D11" s="415">
        <v>570</v>
      </c>
      <c r="E11" s="419">
        <f>F11*100/D11</f>
        <v>103.85964912280701</v>
      </c>
      <c r="F11" s="442">
        <v>592</v>
      </c>
      <c r="G11" s="414"/>
      <c r="H11" s="411"/>
      <c r="I11" s="419"/>
      <c r="J11" s="442"/>
    </row>
    <row r="12" spans="1:10" s="322" customFormat="1" ht="23.1" customHeight="1" x14ac:dyDescent="0.4">
      <c r="A12" s="440" t="s">
        <v>170</v>
      </c>
      <c r="B12" s="441">
        <v>1</v>
      </c>
      <c r="C12" s="416"/>
      <c r="D12" s="450">
        <v>1</v>
      </c>
      <c r="E12" s="419"/>
      <c r="F12" s="451">
        <v>1</v>
      </c>
      <c r="G12" s="414"/>
      <c r="H12" s="411"/>
      <c r="I12" s="419"/>
      <c r="J12" s="442"/>
    </row>
    <row r="13" spans="1:10" s="322" customFormat="1" ht="23.1" customHeight="1" thickBot="1" x14ac:dyDescent="0.45">
      <c r="A13" s="420" t="s">
        <v>140</v>
      </c>
      <c r="B13" s="443">
        <f>B7</f>
        <v>684</v>
      </c>
      <c r="C13" s="422">
        <f>D13*100/B13</f>
        <v>104.23976608187135</v>
      </c>
      <c r="D13" s="427">
        <f>SUM(D8:D12)</f>
        <v>713</v>
      </c>
      <c r="E13" s="424">
        <f>F13*100/D13</f>
        <v>103.92706872370266</v>
      </c>
      <c r="F13" s="444">
        <f>SUM(F8:F12)</f>
        <v>741</v>
      </c>
      <c r="G13" s="426"/>
      <c r="H13" s="423"/>
      <c r="I13" s="424"/>
      <c r="J13" s="444"/>
    </row>
    <row r="14" spans="1:10" ht="13.8" thickTop="1" x14ac:dyDescent="0.25"/>
  </sheetData>
  <sheetProtection selectLockedCells="1" selectUnlockedCells="1"/>
  <mergeCells count="3">
    <mergeCell ref="A1:J1"/>
    <mergeCell ref="C2:F2"/>
    <mergeCell ref="G2:J2"/>
  </mergeCells>
  <phoneticPr fontId="0" type="noConversion"/>
  <printOptions gridLines="1"/>
  <pageMargins left="0.39374999999999999" right="0.39374999999999999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&amp;C&amp;A</oddHeader>
    <oddFooter>&amp;LStage CN Octobre 2002&amp;CCorrigé ERE ,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62" zoomScaleNormal="62" workbookViewId="0">
      <selection sqref="A1:J1"/>
    </sheetView>
  </sheetViews>
  <sheetFormatPr baseColWidth="10" defaultColWidth="11" defaultRowHeight="13.2" x14ac:dyDescent="0.25"/>
  <cols>
    <col min="1" max="1" width="48.44140625" customWidth="1"/>
    <col min="2" max="10" width="12.6640625" customWidth="1"/>
  </cols>
  <sheetData>
    <row r="1" spans="1:10" ht="24.6" x14ac:dyDescent="0.4">
      <c r="A1" s="564" t="s">
        <v>171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24.6" x14ac:dyDescent="0.4">
      <c r="A2" s="435"/>
      <c r="B2" s="373"/>
      <c r="C2" s="563" t="s">
        <v>167</v>
      </c>
      <c r="D2" s="563"/>
      <c r="E2" s="563"/>
      <c r="F2" s="563"/>
      <c r="G2" s="562" t="s">
        <v>120</v>
      </c>
      <c r="H2" s="562"/>
      <c r="I2" s="562"/>
      <c r="J2" s="562"/>
    </row>
    <row r="3" spans="1:10" ht="21" x14ac:dyDescent="0.4">
      <c r="A3" s="390"/>
      <c r="B3" s="391" t="s">
        <v>148</v>
      </c>
      <c r="C3" s="392" t="s">
        <v>126</v>
      </c>
      <c r="D3" s="393" t="s">
        <v>127</v>
      </c>
      <c r="E3" s="393" t="s">
        <v>126</v>
      </c>
      <c r="F3" s="394" t="s">
        <v>127</v>
      </c>
      <c r="G3" s="392" t="s">
        <v>126</v>
      </c>
      <c r="H3" s="393" t="s">
        <v>127</v>
      </c>
      <c r="I3" s="393" t="s">
        <v>126</v>
      </c>
      <c r="J3" s="394" t="s">
        <v>127</v>
      </c>
    </row>
    <row r="4" spans="1:10" ht="21" x14ac:dyDescent="0.4">
      <c r="A4" s="395"/>
      <c r="B4" s="396" t="s">
        <v>168</v>
      </c>
      <c r="C4" s="397" t="s">
        <v>149</v>
      </c>
      <c r="D4" s="398" t="s">
        <v>150</v>
      </c>
      <c r="E4" s="398" t="s">
        <v>151</v>
      </c>
      <c r="F4" s="399" t="s">
        <v>152</v>
      </c>
      <c r="G4" s="397" t="s">
        <v>149</v>
      </c>
      <c r="H4" s="398" t="s">
        <v>150</v>
      </c>
      <c r="I4" s="398" t="s">
        <v>151</v>
      </c>
      <c r="J4" s="399" t="s">
        <v>152</v>
      </c>
    </row>
    <row r="5" spans="1:10" ht="22.8" x14ac:dyDescent="0.4">
      <c r="A5" s="436" t="s">
        <v>158</v>
      </c>
      <c r="B5" s="437">
        <f>679+39-34</f>
        <v>684</v>
      </c>
      <c r="C5" s="402">
        <f t="shared" ref="C5:C11" si="0">D5*100/B5</f>
        <v>104.23976608187135</v>
      </c>
      <c r="D5" s="407">
        <v>713</v>
      </c>
      <c r="E5" s="438">
        <f>F5*100/D5</f>
        <v>103.92706872370266</v>
      </c>
      <c r="F5" s="439">
        <v>741</v>
      </c>
      <c r="G5" s="406"/>
      <c r="H5" s="407"/>
      <c r="I5" s="407"/>
      <c r="J5" s="439"/>
    </row>
    <row r="6" spans="1:10" ht="22.8" x14ac:dyDescent="0.4">
      <c r="A6" s="440" t="s">
        <v>159</v>
      </c>
      <c r="B6" s="441">
        <f>(B5)</f>
        <v>684</v>
      </c>
      <c r="C6" s="416">
        <f t="shared" si="0"/>
        <v>104.23976608187135</v>
      </c>
      <c r="D6" s="415">
        <f>D5</f>
        <v>713</v>
      </c>
      <c r="E6" s="419">
        <f>F6*100/D6</f>
        <v>103.92706872370266</v>
      </c>
      <c r="F6" s="442">
        <f>F5</f>
        <v>741</v>
      </c>
      <c r="G6" s="414"/>
      <c r="H6" s="415"/>
      <c r="I6" s="415"/>
      <c r="J6" s="442"/>
    </row>
    <row r="7" spans="1:10" ht="22.8" x14ac:dyDescent="0.4">
      <c r="A7" s="420" t="s">
        <v>47</v>
      </c>
      <c r="B7" s="443">
        <f>(B6)</f>
        <v>684</v>
      </c>
      <c r="C7" s="422">
        <f t="shared" si="0"/>
        <v>104.23976608187135</v>
      </c>
      <c r="D7" s="427">
        <f>D5</f>
        <v>713</v>
      </c>
      <c r="E7" s="424">
        <f>F7*100/D7</f>
        <v>103.92706872370266</v>
      </c>
      <c r="F7" s="444">
        <f>F5</f>
        <v>741</v>
      </c>
      <c r="G7" s="426"/>
      <c r="H7" s="427"/>
      <c r="I7" s="427"/>
      <c r="J7" s="444"/>
    </row>
    <row r="8" spans="1:10" ht="22.8" x14ac:dyDescent="0.4">
      <c r="A8" s="440" t="s">
        <v>135</v>
      </c>
      <c r="B8" s="441">
        <v>71</v>
      </c>
      <c r="C8" s="416">
        <f t="shared" si="0"/>
        <v>104.22535211267606</v>
      </c>
      <c r="D8" s="415">
        <v>74</v>
      </c>
      <c r="E8" s="419">
        <f>F8*100/D8</f>
        <v>104.05405405405405</v>
      </c>
      <c r="F8" s="442">
        <v>77</v>
      </c>
      <c r="G8" s="414"/>
      <c r="H8" s="411">
        <f>'TES Valeur étape 4 base 95'!I8-D9</f>
        <v>87</v>
      </c>
      <c r="I8" s="415">
        <v>104.1</v>
      </c>
      <c r="J8" s="442">
        <f>84+1</f>
        <v>85</v>
      </c>
    </row>
    <row r="9" spans="1:10" ht="22.8" x14ac:dyDescent="0.4">
      <c r="A9" s="440" t="s">
        <v>169</v>
      </c>
      <c r="B9" s="445">
        <v>39</v>
      </c>
      <c r="C9" s="430">
        <f t="shared" si="0"/>
        <v>102.56410256410257</v>
      </c>
      <c r="D9" s="446">
        <f>ROUND(F9*100/E9,0)</f>
        <v>40</v>
      </c>
      <c r="E9" s="432">
        <v>104</v>
      </c>
      <c r="F9" s="447">
        <v>42</v>
      </c>
      <c r="G9" s="448"/>
      <c r="H9" s="446">
        <f>D9</f>
        <v>40</v>
      </c>
      <c r="I9" s="432">
        <v>104</v>
      </c>
      <c r="J9" s="449">
        <f>ROUND(F9*H9/D9,0)</f>
        <v>42</v>
      </c>
    </row>
    <row r="10" spans="1:10" ht="22.8" x14ac:dyDescent="0.4">
      <c r="A10" s="440" t="s">
        <v>157</v>
      </c>
      <c r="B10" s="441">
        <v>27</v>
      </c>
      <c r="C10" s="416">
        <f t="shared" si="0"/>
        <v>103.70370370370371</v>
      </c>
      <c r="D10" s="415">
        <f>ROUND(F10*100/E10,0)</f>
        <v>28</v>
      </c>
      <c r="E10" s="412">
        <v>103.5</v>
      </c>
      <c r="F10" s="442">
        <v>29</v>
      </c>
      <c r="G10" s="414"/>
      <c r="H10" s="411">
        <f>'TES Valeur étape 4 base 95'!K8</f>
        <v>29</v>
      </c>
      <c r="I10" s="412">
        <v>103.5</v>
      </c>
      <c r="J10" s="442">
        <f>ROUND(F10*H10/D10,0)</f>
        <v>30</v>
      </c>
    </row>
    <row r="11" spans="1:10" ht="22.8" x14ac:dyDescent="0.4">
      <c r="A11" s="440" t="s">
        <v>12</v>
      </c>
      <c r="B11" s="441">
        <f>580-34</f>
        <v>546</v>
      </c>
      <c r="C11" s="416">
        <f t="shared" si="0"/>
        <v>104.39560439560439</v>
      </c>
      <c r="D11" s="415">
        <v>570</v>
      </c>
      <c r="E11" s="419">
        <f>F11*100/D11</f>
        <v>103.85964912280701</v>
      </c>
      <c r="F11" s="442">
        <v>592</v>
      </c>
      <c r="G11" s="414"/>
      <c r="H11" s="411">
        <f>'TES Valeur étape 4 base 95'!M8</f>
        <v>592</v>
      </c>
      <c r="I11" s="419">
        <f>J11*100/H11</f>
        <v>103.71621621621621</v>
      </c>
      <c r="J11" s="442">
        <f>ROUND(F11*H11/D11,0)-1</f>
        <v>614</v>
      </c>
    </row>
    <row r="12" spans="1:10" ht="22.8" x14ac:dyDescent="0.4">
      <c r="A12" s="440" t="s">
        <v>138</v>
      </c>
      <c r="B12" s="441">
        <v>1</v>
      </c>
      <c r="C12" s="416"/>
      <c r="D12" s="450">
        <v>1</v>
      </c>
      <c r="E12" s="419"/>
      <c r="F12" s="451">
        <v>1</v>
      </c>
      <c r="G12" s="414"/>
      <c r="H12" s="411">
        <f>'TES Valeur étape 4 base 95'!O8</f>
        <v>1</v>
      </c>
      <c r="I12" s="419">
        <f>J12*100/H12</f>
        <v>100</v>
      </c>
      <c r="J12" s="442">
        <f>ROUND(F12*H12/D12,0)</f>
        <v>1</v>
      </c>
    </row>
    <row r="13" spans="1:10" ht="22.8" x14ac:dyDescent="0.4">
      <c r="A13" s="420" t="s">
        <v>140</v>
      </c>
      <c r="B13" s="443">
        <f>B7</f>
        <v>684</v>
      </c>
      <c r="C13" s="422">
        <f>D13*100/B13</f>
        <v>104.23976608187135</v>
      </c>
      <c r="D13" s="427">
        <f>SUM(D8:D12)</f>
        <v>713</v>
      </c>
      <c r="E13" s="424">
        <f>F13*100/D13</f>
        <v>103.92706872370266</v>
      </c>
      <c r="F13" s="444">
        <f>SUM(F8:F12)</f>
        <v>741</v>
      </c>
      <c r="G13" s="426"/>
      <c r="H13" s="423">
        <f>SUM(H8:H12)</f>
        <v>749</v>
      </c>
      <c r="I13" s="424">
        <f>+J13*100/H13</f>
        <v>103.07076101468625</v>
      </c>
      <c r="J13" s="444">
        <f>SUM(J8:J12)</f>
        <v>772</v>
      </c>
    </row>
  </sheetData>
  <sheetProtection selectLockedCells="1" selectUnlockedCells="1"/>
  <mergeCells count="3">
    <mergeCell ref="A1:J1"/>
    <mergeCell ref="C2:F2"/>
    <mergeCell ref="G2:J2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2002&amp;CCorrigé ERE ,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62" zoomScaleNormal="62" workbookViewId="0">
      <selection activeCell="J45" sqref="J45"/>
    </sheetView>
  </sheetViews>
  <sheetFormatPr baseColWidth="10" defaultColWidth="11.44140625" defaultRowHeight="11.4" x14ac:dyDescent="0.2"/>
  <cols>
    <col min="1" max="1" width="32.6640625" style="322" customWidth="1"/>
    <col min="2" max="2" width="10.6640625" style="322" customWidth="1"/>
    <col min="3" max="3" width="10.6640625" style="452" customWidth="1"/>
    <col min="4" max="6" width="10.6640625" style="322" customWidth="1"/>
    <col min="7" max="10" width="12.6640625" style="322" customWidth="1"/>
    <col min="11" max="16384" width="11.44140625" style="322"/>
  </cols>
  <sheetData>
    <row r="1" spans="1:10" ht="23.1" customHeight="1" thickBot="1" x14ac:dyDescent="0.45">
      <c r="A1" s="564" t="s">
        <v>172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23.1" customHeight="1" thickBot="1" x14ac:dyDescent="0.45">
      <c r="A2" s="373"/>
      <c r="B2" s="373"/>
      <c r="C2" s="563"/>
      <c r="D2" s="563"/>
      <c r="E2" s="563"/>
      <c r="F2" s="563"/>
      <c r="G2" s="562"/>
      <c r="H2" s="562"/>
      <c r="I2" s="562"/>
      <c r="J2" s="562"/>
    </row>
    <row r="3" spans="1:10" ht="23.1" customHeight="1" thickTop="1" x14ac:dyDescent="0.4">
      <c r="A3" s="453"/>
      <c r="B3" s="391"/>
      <c r="C3" s="392" t="s">
        <v>119</v>
      </c>
      <c r="D3" s="393"/>
      <c r="E3" s="393"/>
      <c r="F3" s="394"/>
      <c r="G3" s="392" t="s">
        <v>120</v>
      </c>
      <c r="H3" s="393"/>
      <c r="I3" s="393"/>
      <c r="J3" s="394"/>
    </row>
    <row r="4" spans="1:10" ht="23.1" customHeight="1" thickBot="1" x14ac:dyDescent="0.45">
      <c r="A4" s="454"/>
      <c r="B4" s="396" t="s">
        <v>148</v>
      </c>
      <c r="C4" s="397" t="s">
        <v>126</v>
      </c>
      <c r="D4" s="398" t="s">
        <v>127</v>
      </c>
      <c r="E4" s="398" t="s">
        <v>126</v>
      </c>
      <c r="F4" s="399" t="s">
        <v>127</v>
      </c>
      <c r="G4" s="397" t="s">
        <v>126</v>
      </c>
      <c r="H4" s="398" t="s">
        <v>127</v>
      </c>
      <c r="I4" s="398" t="s">
        <v>126</v>
      </c>
      <c r="J4" s="399" t="s">
        <v>127</v>
      </c>
    </row>
    <row r="5" spans="1:10" ht="23.1" customHeight="1" thickTop="1" x14ac:dyDescent="0.4">
      <c r="A5" s="436"/>
      <c r="B5" s="437" t="s">
        <v>121</v>
      </c>
      <c r="C5" s="455" t="s">
        <v>122</v>
      </c>
      <c r="D5" s="456" t="s">
        <v>123</v>
      </c>
      <c r="E5" s="457" t="s">
        <v>124</v>
      </c>
      <c r="F5" s="458" t="s">
        <v>125</v>
      </c>
      <c r="G5" s="406" t="s">
        <v>149</v>
      </c>
      <c r="H5" s="407" t="s">
        <v>150</v>
      </c>
      <c r="I5" s="459" t="s">
        <v>151</v>
      </c>
      <c r="J5" s="439" t="s">
        <v>152</v>
      </c>
    </row>
    <row r="6" spans="1:10" ht="23.1" customHeight="1" x14ac:dyDescent="0.4">
      <c r="A6" s="440" t="s">
        <v>158</v>
      </c>
      <c r="B6" s="441">
        <f>2780+44</f>
        <v>2824</v>
      </c>
      <c r="C6" s="460">
        <f t="shared" ref="C6:C14" si="0">D6*100/B6</f>
        <v>106.51558073654391</v>
      </c>
      <c r="D6" s="461">
        <f>ROUND(F6*100/E6,0)</f>
        <v>3008</v>
      </c>
      <c r="E6" s="462">
        <v>104.6</v>
      </c>
      <c r="F6" s="463">
        <v>3146</v>
      </c>
      <c r="G6" s="414"/>
      <c r="H6" s="415"/>
      <c r="I6" s="382"/>
      <c r="J6" s="442"/>
    </row>
    <row r="7" spans="1:10" ht="23.1" customHeight="1" x14ac:dyDescent="0.4">
      <c r="A7" s="440" t="s">
        <v>37</v>
      </c>
      <c r="B7" s="441">
        <v>87</v>
      </c>
      <c r="C7" s="460">
        <f t="shared" si="0"/>
        <v>106.89655172413794</v>
      </c>
      <c r="D7" s="461">
        <f>ROUND(F7*100/E7,0)</f>
        <v>93</v>
      </c>
      <c r="E7" s="464">
        <v>104.6</v>
      </c>
      <c r="F7" s="465">
        <v>97</v>
      </c>
      <c r="G7" s="414"/>
      <c r="H7" s="415"/>
      <c r="I7" s="382"/>
      <c r="J7" s="442"/>
    </row>
    <row r="8" spans="1:10" ht="23.1" customHeight="1" x14ac:dyDescent="0.4">
      <c r="A8" s="440" t="s">
        <v>159</v>
      </c>
      <c r="B8" s="441">
        <f>SUM(B6:B7)</f>
        <v>2911</v>
      </c>
      <c r="C8" s="460">
        <f t="shared" si="0"/>
        <v>106.52696667811749</v>
      </c>
      <c r="D8" s="461">
        <f>SUM(D6:D7)</f>
        <v>3101</v>
      </c>
      <c r="E8" s="462">
        <f>F8*100/D8</f>
        <v>104.57916801031925</v>
      </c>
      <c r="F8" s="463">
        <f>SUM(F6:F7)</f>
        <v>3243</v>
      </c>
      <c r="G8" s="414"/>
      <c r="H8" s="415"/>
      <c r="I8" s="382"/>
      <c r="J8" s="442"/>
    </row>
    <row r="9" spans="1:10" ht="23.1" customHeight="1" thickBot="1" x14ac:dyDescent="0.45">
      <c r="A9" s="420" t="s">
        <v>39</v>
      </c>
      <c r="B9" s="443">
        <v>161</v>
      </c>
      <c r="C9" s="466">
        <f t="shared" si="0"/>
        <v>106.83229813664596</v>
      </c>
      <c r="D9" s="467">
        <f>ROUND(F9*100/E9,0)</f>
        <v>172</v>
      </c>
      <c r="E9" s="468">
        <v>103.9</v>
      </c>
      <c r="F9" s="469">
        <v>179</v>
      </c>
      <c r="G9" s="426"/>
      <c r="H9" s="427"/>
      <c r="I9" s="386"/>
      <c r="J9" s="444"/>
    </row>
    <row r="10" spans="1:10" ht="23.1" customHeight="1" thickTop="1" x14ac:dyDescent="0.4">
      <c r="A10" s="440" t="s">
        <v>47</v>
      </c>
      <c r="B10" s="441">
        <f>SUM(B8:B9)</f>
        <v>3072</v>
      </c>
      <c r="C10" s="460">
        <f t="shared" si="0"/>
        <v>106.54296875</v>
      </c>
      <c r="D10" s="461">
        <f>SUM(D8:D9)</f>
        <v>3273</v>
      </c>
      <c r="E10" s="464">
        <f>F10*100/D10</f>
        <v>104.5523984112435</v>
      </c>
      <c r="F10" s="465">
        <f>SUM(F8:F9)</f>
        <v>3422</v>
      </c>
      <c r="G10" s="470"/>
      <c r="H10" s="411"/>
      <c r="I10" s="464"/>
      <c r="J10" s="442"/>
    </row>
    <row r="11" spans="1:10" ht="23.1" customHeight="1" x14ac:dyDescent="0.4">
      <c r="A11" s="440" t="s">
        <v>135</v>
      </c>
      <c r="B11" s="441">
        <f>(B15-SUM(B12:B14))</f>
        <v>-1579</v>
      </c>
      <c r="C11" s="471">
        <f t="shared" si="0"/>
        <v>104.81317289423686</v>
      </c>
      <c r="D11" s="461">
        <f>D15-D14-D13-D12</f>
        <v>-1655</v>
      </c>
      <c r="E11" s="462">
        <f>F11*100/D11</f>
        <v>104.10876132930514</v>
      </c>
      <c r="F11" s="465">
        <f>F15-F14-F13-F12</f>
        <v>-1723</v>
      </c>
      <c r="G11" s="470"/>
      <c r="H11" s="411"/>
      <c r="I11" s="462"/>
      <c r="J11" s="442"/>
    </row>
    <row r="12" spans="1:10" ht="23.1" customHeight="1" x14ac:dyDescent="0.4">
      <c r="A12" s="440" t="s">
        <v>164</v>
      </c>
      <c r="B12" s="441">
        <v>1233</v>
      </c>
      <c r="C12" s="460">
        <f t="shared" si="0"/>
        <v>104.29845904298459</v>
      </c>
      <c r="D12" s="461">
        <f>ROUND(F12*100/E12,0)</f>
        <v>1286</v>
      </c>
      <c r="E12" s="464">
        <v>104.2</v>
      </c>
      <c r="F12" s="465">
        <f>ROUND(108.7*B12/100,0)</f>
        <v>1340</v>
      </c>
      <c r="G12" s="470"/>
      <c r="H12" s="411"/>
      <c r="I12" s="464"/>
      <c r="J12" s="442"/>
    </row>
    <row r="13" spans="1:10" ht="23.1" customHeight="1" x14ac:dyDescent="0.4">
      <c r="A13" s="440" t="s">
        <v>12</v>
      </c>
      <c r="B13" s="441">
        <f>54+34</f>
        <v>88</v>
      </c>
      <c r="C13" s="460">
        <f t="shared" si="0"/>
        <v>103.40909090909091</v>
      </c>
      <c r="D13" s="461">
        <v>91</v>
      </c>
      <c r="E13" s="462">
        <f>F13*100/D13</f>
        <v>103.2967032967033</v>
      </c>
      <c r="F13" s="463">
        <v>94</v>
      </c>
      <c r="G13" s="470"/>
      <c r="H13" s="411"/>
      <c r="I13" s="464"/>
      <c r="J13" s="442"/>
    </row>
    <row r="14" spans="1:10" ht="23.1" customHeight="1" thickBot="1" x14ac:dyDescent="0.45">
      <c r="A14" s="420" t="s">
        <v>139</v>
      </c>
      <c r="B14" s="443">
        <v>258</v>
      </c>
      <c r="C14" s="466">
        <f t="shared" si="0"/>
        <v>107.75193798449612</v>
      </c>
      <c r="D14" s="467">
        <f>ROUND(F14*100/E14,0)</f>
        <v>278</v>
      </c>
      <c r="E14" s="468">
        <v>104.1</v>
      </c>
      <c r="F14" s="469">
        <v>289</v>
      </c>
      <c r="G14" s="472"/>
      <c r="H14" s="423"/>
      <c r="I14" s="468"/>
      <c r="J14" s="444"/>
    </row>
    <row r="15" spans="1:10" ht="23.1" customHeight="1" thickTop="1" x14ac:dyDescent="0.4">
      <c r="A15" s="564"/>
      <c r="B15" s="564"/>
      <c r="C15" s="564"/>
      <c r="D15" s="564"/>
      <c r="E15" s="564"/>
      <c r="F15" s="564"/>
      <c r="G15" s="564"/>
      <c r="H15" s="564"/>
      <c r="I15" s="564"/>
      <c r="J15" s="564"/>
    </row>
  </sheetData>
  <sheetProtection selectLockedCells="1" selectUnlockedCells="1"/>
  <mergeCells count="4">
    <mergeCell ref="A15:J15"/>
    <mergeCell ref="A1:J1"/>
    <mergeCell ref="C2:F2"/>
    <mergeCell ref="G2:J2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2002&amp;CCorrigé ERE ,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62" zoomScaleNormal="62" workbookViewId="0">
      <selection activeCell="F64" sqref="F64"/>
    </sheetView>
  </sheetViews>
  <sheetFormatPr baseColWidth="10" defaultColWidth="11" defaultRowHeight="13.2" x14ac:dyDescent="0.25"/>
  <cols>
    <col min="1" max="1" width="49.6640625" customWidth="1"/>
    <col min="2" max="10" width="12.6640625" customWidth="1"/>
  </cols>
  <sheetData>
    <row r="1" spans="1:10" ht="24.6" x14ac:dyDescent="0.4">
      <c r="A1" s="564" t="s">
        <v>172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24.6" x14ac:dyDescent="0.4">
      <c r="A2" s="373"/>
      <c r="B2" s="373"/>
      <c r="C2" s="563" t="s">
        <v>167</v>
      </c>
      <c r="D2" s="563"/>
      <c r="E2" s="563"/>
      <c r="F2" s="563"/>
      <c r="G2" s="562" t="s">
        <v>120</v>
      </c>
      <c r="H2" s="562"/>
      <c r="I2" s="562"/>
      <c r="J2" s="562"/>
    </row>
    <row r="3" spans="1:10" ht="21" x14ac:dyDescent="0.4">
      <c r="A3" s="453"/>
      <c r="B3" s="391" t="s">
        <v>148</v>
      </c>
      <c r="C3" s="392" t="s">
        <v>126</v>
      </c>
      <c r="D3" s="393" t="s">
        <v>127</v>
      </c>
      <c r="E3" s="393" t="s">
        <v>126</v>
      </c>
      <c r="F3" s="394" t="s">
        <v>127</v>
      </c>
      <c r="G3" s="392" t="s">
        <v>126</v>
      </c>
      <c r="H3" s="393" t="s">
        <v>127</v>
      </c>
      <c r="I3" s="393" t="s">
        <v>126</v>
      </c>
      <c r="J3" s="394" t="s">
        <v>127</v>
      </c>
    </row>
    <row r="4" spans="1:10" ht="21" x14ac:dyDescent="0.4">
      <c r="A4" s="454"/>
      <c r="B4" s="396" t="s">
        <v>168</v>
      </c>
      <c r="C4" s="397" t="s">
        <v>149</v>
      </c>
      <c r="D4" s="398" t="s">
        <v>150</v>
      </c>
      <c r="E4" s="398" t="s">
        <v>151</v>
      </c>
      <c r="F4" s="399" t="s">
        <v>152</v>
      </c>
      <c r="G4" s="397" t="s">
        <v>149</v>
      </c>
      <c r="H4" s="398" t="s">
        <v>150</v>
      </c>
      <c r="I4" s="398" t="s">
        <v>151</v>
      </c>
      <c r="J4" s="399" t="s">
        <v>152</v>
      </c>
    </row>
    <row r="5" spans="1:10" ht="22.8" x14ac:dyDescent="0.4">
      <c r="A5" s="436" t="s">
        <v>158</v>
      </c>
      <c r="B5" s="437">
        <f>2780+44</f>
        <v>2824</v>
      </c>
      <c r="C5" s="455">
        <f t="shared" ref="C5:C14" si="0">D5*100/B5</f>
        <v>106.51558073654391</v>
      </c>
      <c r="D5" s="456">
        <f>ROUND(F5*100/E5,0)</f>
        <v>3008</v>
      </c>
      <c r="E5" s="457">
        <v>104.6</v>
      </c>
      <c r="F5" s="458">
        <v>3146</v>
      </c>
      <c r="G5" s="406"/>
      <c r="H5" s="407"/>
      <c r="I5" s="459"/>
      <c r="J5" s="439"/>
    </row>
    <row r="6" spans="1:10" ht="22.8" x14ac:dyDescent="0.4">
      <c r="A6" s="440" t="s">
        <v>37</v>
      </c>
      <c r="B6" s="441">
        <v>87</v>
      </c>
      <c r="C6" s="460">
        <f t="shared" si="0"/>
        <v>106.89655172413794</v>
      </c>
      <c r="D6" s="461">
        <f>ROUND(F6*100/E6,0)</f>
        <v>93</v>
      </c>
      <c r="E6" s="462">
        <v>104.6</v>
      </c>
      <c r="F6" s="463">
        <v>97</v>
      </c>
      <c r="G6" s="414"/>
      <c r="H6" s="415"/>
      <c r="I6" s="382"/>
      <c r="J6" s="442"/>
    </row>
    <row r="7" spans="1:10" ht="22.8" x14ac:dyDescent="0.4">
      <c r="A7" s="440" t="s">
        <v>159</v>
      </c>
      <c r="B7" s="441">
        <f>SUM(B5:B6)</f>
        <v>2911</v>
      </c>
      <c r="C7" s="460">
        <f t="shared" si="0"/>
        <v>106.52696667811749</v>
      </c>
      <c r="D7" s="461">
        <f>SUM(D5:D6)</f>
        <v>3101</v>
      </c>
      <c r="E7" s="464">
        <f>F7*100/D7</f>
        <v>104.57916801031925</v>
      </c>
      <c r="F7" s="465">
        <f>SUM(F5:F6)</f>
        <v>3243</v>
      </c>
      <c r="G7" s="414"/>
      <c r="H7" s="415"/>
      <c r="I7" s="382"/>
      <c r="J7" s="442"/>
    </row>
    <row r="8" spans="1:10" ht="22.8" x14ac:dyDescent="0.4">
      <c r="A8" s="440" t="s">
        <v>39</v>
      </c>
      <c r="B8" s="441">
        <v>161</v>
      </c>
      <c r="C8" s="460">
        <f t="shared" si="0"/>
        <v>106.83229813664596</v>
      </c>
      <c r="D8" s="461">
        <f>ROUND(F8*100/E8,0)</f>
        <v>172</v>
      </c>
      <c r="E8" s="462">
        <v>103.9</v>
      </c>
      <c r="F8" s="463">
        <v>179</v>
      </c>
      <c r="G8" s="414"/>
      <c r="H8" s="415"/>
      <c r="I8" s="382"/>
      <c r="J8" s="442"/>
    </row>
    <row r="9" spans="1:10" ht="22.8" x14ac:dyDescent="0.4">
      <c r="A9" s="420" t="s">
        <v>47</v>
      </c>
      <c r="B9" s="443">
        <f>SUM(B7:B8)</f>
        <v>3072</v>
      </c>
      <c r="C9" s="466">
        <f t="shared" si="0"/>
        <v>106.54296875</v>
      </c>
      <c r="D9" s="467">
        <f>SUM(D7:D8)</f>
        <v>3273</v>
      </c>
      <c r="E9" s="468">
        <f>F9*100/D9</f>
        <v>104.5523984112435</v>
      </c>
      <c r="F9" s="469">
        <f>SUM(F7:F8)</f>
        <v>3422</v>
      </c>
      <c r="G9" s="426"/>
      <c r="H9" s="427"/>
      <c r="I9" s="386"/>
      <c r="J9" s="444"/>
    </row>
    <row r="10" spans="1:10" ht="22.8" x14ac:dyDescent="0.4">
      <c r="A10" s="440" t="s">
        <v>135</v>
      </c>
      <c r="B10" s="441">
        <f>(B14-SUM(B11:B13))</f>
        <v>1493</v>
      </c>
      <c r="C10" s="460">
        <f t="shared" si="0"/>
        <v>108.37240455458807</v>
      </c>
      <c r="D10" s="461">
        <f>D14-D13-D12-D11</f>
        <v>1618</v>
      </c>
      <c r="E10" s="464">
        <f>F10*100/D10</f>
        <v>105.0061804697157</v>
      </c>
      <c r="F10" s="465">
        <f>F14-F13-F12-F11</f>
        <v>1699</v>
      </c>
      <c r="G10" s="470"/>
      <c r="H10" s="411">
        <f>'TES Valeur étape 4 base 95'!I9</f>
        <v>1636</v>
      </c>
      <c r="I10" s="464">
        <v>105</v>
      </c>
      <c r="J10" s="442">
        <f>ROUND(F10*H10/D10,0)</f>
        <v>1718</v>
      </c>
    </row>
    <row r="11" spans="1:10" ht="22.8" x14ac:dyDescent="0.4">
      <c r="A11" s="440" t="s">
        <v>164</v>
      </c>
      <c r="B11" s="441">
        <v>1233</v>
      </c>
      <c r="C11" s="471">
        <f t="shared" si="0"/>
        <v>104.29845904298459</v>
      </c>
      <c r="D11" s="461">
        <f>ROUND(F11*100/E11,0)</f>
        <v>1286</v>
      </c>
      <c r="E11" s="462">
        <v>104.2</v>
      </c>
      <c r="F11" s="465">
        <f>ROUND(108.7*B11/100,0)</f>
        <v>1340</v>
      </c>
      <c r="G11" s="470"/>
      <c r="H11" s="411">
        <f>'TES Valeur étape 4 base 95'!K9</f>
        <v>1340</v>
      </c>
      <c r="I11" s="462">
        <v>104.2</v>
      </c>
      <c r="J11" s="442">
        <f>ROUND(F11*H11/D11,0)</f>
        <v>1396</v>
      </c>
    </row>
    <row r="12" spans="1:10" ht="22.8" x14ac:dyDescent="0.4">
      <c r="A12" s="440" t="s">
        <v>12</v>
      </c>
      <c r="B12" s="441">
        <f>54+34</f>
        <v>88</v>
      </c>
      <c r="C12" s="460">
        <f t="shared" si="0"/>
        <v>103.40909090909091</v>
      </c>
      <c r="D12" s="461">
        <v>91</v>
      </c>
      <c r="E12" s="464">
        <f>F12*100/D12</f>
        <v>103.2967032967033</v>
      </c>
      <c r="F12" s="465">
        <v>94</v>
      </c>
      <c r="G12" s="470"/>
      <c r="H12" s="411">
        <f>'TES Valeur étape 4 base 95'!M9</f>
        <v>94</v>
      </c>
      <c r="I12" s="464"/>
      <c r="J12" s="442">
        <f>ROUND(F12*H12/D12,0)</f>
        <v>97</v>
      </c>
    </row>
    <row r="13" spans="1:10" ht="22.8" x14ac:dyDescent="0.4">
      <c r="A13" s="440" t="s">
        <v>139</v>
      </c>
      <c r="B13" s="441">
        <v>258</v>
      </c>
      <c r="C13" s="460">
        <f t="shared" si="0"/>
        <v>107.75193798449612</v>
      </c>
      <c r="D13" s="461">
        <f>ROUND(F13*100/E13,0)</f>
        <v>278</v>
      </c>
      <c r="E13" s="462">
        <v>104.1</v>
      </c>
      <c r="F13" s="463">
        <v>289</v>
      </c>
      <c r="G13" s="470"/>
      <c r="H13" s="411">
        <f>'TES Valeur étape 4 base 95'!P9</f>
        <v>289</v>
      </c>
      <c r="I13" s="464"/>
      <c r="J13" s="442">
        <f>ROUND(F13*H13/D13,0)</f>
        <v>300</v>
      </c>
    </row>
    <row r="14" spans="1:10" ht="22.8" x14ac:dyDescent="0.4">
      <c r="A14" s="420" t="s">
        <v>140</v>
      </c>
      <c r="B14" s="443">
        <f>B9</f>
        <v>3072</v>
      </c>
      <c r="C14" s="466">
        <f t="shared" si="0"/>
        <v>106.54296875</v>
      </c>
      <c r="D14" s="467">
        <f>D9</f>
        <v>3273</v>
      </c>
      <c r="E14" s="468">
        <f>F14*100/D14</f>
        <v>104.5523984112435</v>
      </c>
      <c r="F14" s="469">
        <f>F9</f>
        <v>3422</v>
      </c>
      <c r="G14" s="472"/>
      <c r="H14" s="423">
        <f>SUM(H10:H13)</f>
        <v>3359</v>
      </c>
      <c r="I14" s="468"/>
      <c r="J14" s="444">
        <f>SUM(J10:J13)</f>
        <v>3511</v>
      </c>
    </row>
  </sheetData>
  <sheetProtection selectLockedCells="1" selectUnlockedCells="1"/>
  <mergeCells count="3">
    <mergeCell ref="A1:J1"/>
    <mergeCell ref="C2:F2"/>
    <mergeCell ref="G2:J2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&amp;LStage CN Octobre 2002&amp;CCorrigé ERE ,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62" zoomScaleNormal="62" workbookViewId="0">
      <selection activeCell="O50" sqref="O50"/>
    </sheetView>
  </sheetViews>
  <sheetFormatPr baseColWidth="10" defaultColWidth="11" defaultRowHeight="13.2" x14ac:dyDescent="0.25"/>
  <cols>
    <col min="1" max="1" width="32.6640625" customWidth="1"/>
    <col min="2" max="6" width="10.6640625" customWidth="1"/>
    <col min="7" max="10" width="12.6640625" customWidth="1"/>
  </cols>
  <sheetData>
    <row r="1" spans="1:10" ht="23.1" customHeight="1" thickBot="1" x14ac:dyDescent="0.45">
      <c r="A1" s="564" t="s">
        <v>206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23.1" customHeight="1" thickBot="1" x14ac:dyDescent="0.45">
      <c r="A2" s="373"/>
      <c r="B2" s="373"/>
      <c r="C2" s="563" t="s">
        <v>167</v>
      </c>
      <c r="D2" s="563"/>
      <c r="E2" s="563"/>
      <c r="F2" s="563"/>
      <c r="G2" s="562" t="s">
        <v>120</v>
      </c>
      <c r="H2" s="562"/>
      <c r="I2" s="562"/>
      <c r="J2" s="562"/>
    </row>
    <row r="3" spans="1:10" ht="23.1" customHeight="1" thickTop="1" x14ac:dyDescent="0.4">
      <c r="A3" s="453"/>
      <c r="B3" s="391" t="s">
        <v>148</v>
      </c>
      <c r="C3" s="392" t="s">
        <v>126</v>
      </c>
      <c r="D3" s="393" t="s">
        <v>127</v>
      </c>
      <c r="E3" s="393" t="s">
        <v>126</v>
      </c>
      <c r="F3" s="394" t="s">
        <v>127</v>
      </c>
      <c r="G3" s="392" t="s">
        <v>126</v>
      </c>
      <c r="H3" s="393" t="s">
        <v>127</v>
      </c>
      <c r="I3" s="393" t="s">
        <v>126</v>
      </c>
      <c r="J3" s="394" t="s">
        <v>127</v>
      </c>
    </row>
    <row r="4" spans="1:10" ht="23.1" customHeight="1" thickBot="1" x14ac:dyDescent="0.45">
      <c r="A4" s="454"/>
      <c r="B4" s="396" t="s">
        <v>121</v>
      </c>
      <c r="C4" s="397" t="s">
        <v>122</v>
      </c>
      <c r="D4" s="398" t="s">
        <v>123</v>
      </c>
      <c r="E4" s="398" t="s">
        <v>124</v>
      </c>
      <c r="F4" s="399" t="s">
        <v>125</v>
      </c>
      <c r="G4" s="397" t="s">
        <v>149</v>
      </c>
      <c r="H4" s="398" t="s">
        <v>150</v>
      </c>
      <c r="I4" s="398" t="s">
        <v>151</v>
      </c>
      <c r="J4" s="399" t="s">
        <v>152</v>
      </c>
    </row>
    <row r="5" spans="1:10" ht="23.1" customHeight="1" thickTop="1" x14ac:dyDescent="0.4">
      <c r="A5" s="436" t="s">
        <v>158</v>
      </c>
      <c r="B5" s="437">
        <v>1260</v>
      </c>
      <c r="C5" s="455">
        <f>D5*100/B5</f>
        <v>102.06349206349206</v>
      </c>
      <c r="D5" s="456">
        <v>1286</v>
      </c>
      <c r="E5" s="457">
        <f>F5*100/D5</f>
        <v>103.18818040435458</v>
      </c>
      <c r="F5" s="458">
        <v>1327</v>
      </c>
      <c r="G5" s="406"/>
      <c r="H5" s="407"/>
      <c r="I5" s="459"/>
      <c r="J5" s="439"/>
    </row>
    <row r="6" spans="1:10" ht="23.1" customHeight="1" x14ac:dyDescent="0.4">
      <c r="A6" s="440" t="s">
        <v>37</v>
      </c>
      <c r="B6" s="441">
        <v>-98</v>
      </c>
      <c r="C6" s="460">
        <f>D6*100/B6</f>
        <v>107.14285714285714</v>
      </c>
      <c r="D6" s="461">
        <v>-105</v>
      </c>
      <c r="E6" s="462">
        <f>F6*100/D6</f>
        <v>103.80952380952381</v>
      </c>
      <c r="F6" s="463">
        <f>-Serv.Mrchd1!F7-indus2!F8</f>
        <v>-109</v>
      </c>
      <c r="G6" s="414"/>
      <c r="H6" s="415"/>
      <c r="I6" s="382"/>
      <c r="J6" s="442"/>
    </row>
    <row r="7" spans="1:10" ht="23.1" customHeight="1" x14ac:dyDescent="0.4">
      <c r="A7" s="440" t="s">
        <v>159</v>
      </c>
      <c r="B7" s="441">
        <v>1162</v>
      </c>
      <c r="C7" s="460">
        <f>D7*100/B7</f>
        <v>101.63511187607573</v>
      </c>
      <c r="D7" s="461">
        <f>SUM(D5:D6)</f>
        <v>1181</v>
      </c>
      <c r="E7" s="464">
        <f>F7*100/D7</f>
        <v>103.13293818797629</v>
      </c>
      <c r="F7" s="465">
        <f>SUM(F5:F6)</f>
        <v>1218</v>
      </c>
      <c r="G7" s="414"/>
      <c r="H7" s="415"/>
      <c r="I7" s="382"/>
      <c r="J7" s="442"/>
    </row>
    <row r="8" spans="1:10" ht="23.1" customHeight="1" x14ac:dyDescent="0.4">
      <c r="A8" s="440" t="s">
        <v>47</v>
      </c>
      <c r="B8" s="441">
        <v>1162</v>
      </c>
      <c r="C8" s="460">
        <f>D8*100/B8</f>
        <v>101.63511187607573</v>
      </c>
      <c r="D8" s="461">
        <f>D7</f>
        <v>1181</v>
      </c>
      <c r="E8" s="462">
        <f>F8*100/D8</f>
        <v>103.13293818797629</v>
      </c>
      <c r="F8" s="463">
        <f>F7</f>
        <v>1218</v>
      </c>
      <c r="G8" s="414"/>
      <c r="H8" s="415"/>
      <c r="I8" s="382"/>
      <c r="J8" s="442"/>
    </row>
    <row r="9" spans="1:10" ht="23.1" customHeight="1" thickBot="1" x14ac:dyDescent="0.45">
      <c r="A9" s="420" t="s">
        <v>173</v>
      </c>
      <c r="B9" s="443"/>
      <c r="C9" s="466"/>
      <c r="D9" s="467"/>
      <c r="E9" s="468"/>
      <c r="F9" s="469"/>
      <c r="G9" s="426"/>
      <c r="H9" s="427"/>
      <c r="I9" s="386"/>
      <c r="J9" s="444"/>
    </row>
    <row r="10" spans="1:10" ht="23.1" customHeight="1" thickTop="1" x14ac:dyDescent="0.4">
      <c r="A10" s="440" t="s">
        <v>174</v>
      </c>
      <c r="B10" s="441">
        <v>87</v>
      </c>
      <c r="C10" s="460">
        <f>D10*100/B10</f>
        <v>102.29885057471265</v>
      </c>
      <c r="D10" s="461">
        <f>ROUND(F10*100/E10,0)</f>
        <v>89</v>
      </c>
      <c r="E10" s="464">
        <v>104.2</v>
      </c>
      <c r="F10" s="465">
        <v>93</v>
      </c>
      <c r="G10" s="470"/>
      <c r="H10" s="411"/>
      <c r="I10" s="464"/>
      <c r="J10" s="442"/>
    </row>
    <row r="11" spans="1:10" ht="23.1" customHeight="1" x14ac:dyDescent="0.4">
      <c r="A11" s="440" t="s">
        <v>175</v>
      </c>
      <c r="B11" s="441">
        <v>1075</v>
      </c>
      <c r="C11" s="471">
        <f>D11*100/B11</f>
        <v>101.58139534883721</v>
      </c>
      <c r="D11" s="461">
        <f>D12-D10</f>
        <v>1092</v>
      </c>
      <c r="E11" s="462">
        <f>F11*100/D11</f>
        <v>103.02197802197803</v>
      </c>
      <c r="F11" s="465">
        <f>F12-F10</f>
        <v>1125</v>
      </c>
      <c r="G11" s="470"/>
      <c r="H11" s="411"/>
      <c r="I11" s="462"/>
      <c r="J11" s="442"/>
    </row>
    <row r="12" spans="1:10" ht="23.1" customHeight="1" x14ac:dyDescent="0.4">
      <c r="A12" s="440" t="s">
        <v>140</v>
      </c>
      <c r="B12" s="441">
        <v>1162</v>
      </c>
      <c r="C12" s="460">
        <f>D12*100/B12</f>
        <v>101.63511187607573</v>
      </c>
      <c r="D12" s="461">
        <f>D8</f>
        <v>1181</v>
      </c>
      <c r="E12" s="464">
        <f>F12*100/D12</f>
        <v>103.13293818797629</v>
      </c>
      <c r="F12" s="465">
        <f>F8</f>
        <v>1218</v>
      </c>
      <c r="G12" s="470"/>
      <c r="H12" s="411"/>
      <c r="I12" s="464"/>
      <c r="J12" s="442"/>
    </row>
    <row r="13" spans="1:10" ht="23.1" customHeight="1" x14ac:dyDescent="0.4">
      <c r="A13" s="440" t="s">
        <v>176</v>
      </c>
      <c r="B13" s="441"/>
      <c r="C13" s="460"/>
      <c r="D13" s="461"/>
      <c r="E13" s="462"/>
      <c r="F13" s="463"/>
      <c r="G13" s="470"/>
      <c r="H13" s="411"/>
      <c r="I13" s="464"/>
      <c r="J13" s="442"/>
    </row>
  </sheetData>
  <sheetProtection selectLockedCells="1" selectUnlockedCells="1"/>
  <mergeCells count="3">
    <mergeCell ref="C2:F2"/>
    <mergeCell ref="G2:J2"/>
    <mergeCell ref="A1:J1"/>
  </mergeCells>
  <phoneticPr fontId="0" type="noConversion"/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/>
  <headerFooter alignWithMargins="0">
    <oddFooter>&amp;LStage CN Octobre 2002&amp;CCorrigé ERE ,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2" workbookViewId="0">
      <selection activeCell="I21" sqref="I21"/>
    </sheetView>
  </sheetViews>
  <sheetFormatPr baseColWidth="10" defaultColWidth="11" defaultRowHeight="13.2" x14ac:dyDescent="0.25"/>
  <cols>
    <col min="1" max="1" width="15.109375" customWidth="1"/>
    <col min="2" max="9" width="8.6640625" customWidth="1"/>
  </cols>
  <sheetData>
    <row r="2" spans="1:9" x14ac:dyDescent="0.25">
      <c r="A2" s="368" t="s">
        <v>177</v>
      </c>
      <c r="B2" s="473" t="s">
        <v>28</v>
      </c>
      <c r="C2" s="473" t="s">
        <v>4</v>
      </c>
      <c r="D2" s="473" t="s">
        <v>29</v>
      </c>
      <c r="E2" s="473" t="s">
        <v>79</v>
      </c>
      <c r="F2" s="473" t="s">
        <v>64</v>
      </c>
      <c r="G2" s="473" t="s">
        <v>60</v>
      </c>
    </row>
    <row r="3" spans="1:9" x14ac:dyDescent="0.25">
      <c r="A3" s="474" t="s">
        <v>178</v>
      </c>
      <c r="B3" s="475">
        <v>91</v>
      </c>
      <c r="C3" s="475">
        <v>16</v>
      </c>
      <c r="D3" s="475">
        <v>115</v>
      </c>
      <c r="E3" s="475">
        <v>1</v>
      </c>
      <c r="F3" s="475">
        <v>16</v>
      </c>
      <c r="G3" s="475">
        <v>239</v>
      </c>
    </row>
    <row r="4" spans="1:9" ht="13.5" customHeight="1" x14ac:dyDescent="0.25">
      <c r="A4" s="476" t="s">
        <v>179</v>
      </c>
      <c r="B4" s="477">
        <v>89</v>
      </c>
      <c r="C4" s="477">
        <v>15</v>
      </c>
      <c r="D4" s="477">
        <v>110</v>
      </c>
      <c r="E4" s="477">
        <v>1</v>
      </c>
      <c r="F4" s="477">
        <v>15</v>
      </c>
      <c r="G4" s="477">
        <v>230</v>
      </c>
    </row>
    <row r="7" spans="1:9" ht="30" x14ac:dyDescent="0.25">
      <c r="A7" s="478" t="s">
        <v>180</v>
      </c>
      <c r="B7" s="479" t="s">
        <v>181</v>
      </c>
      <c r="C7" s="479" t="s">
        <v>182</v>
      </c>
    </row>
    <row r="8" spans="1:9" ht="15" x14ac:dyDescent="0.25">
      <c r="A8" s="480" t="s">
        <v>29</v>
      </c>
      <c r="B8" s="481">
        <v>241</v>
      </c>
      <c r="C8" s="481">
        <v>234</v>
      </c>
    </row>
    <row r="9" spans="1:9" ht="30" x14ac:dyDescent="0.25">
      <c r="A9" s="480" t="s">
        <v>183</v>
      </c>
      <c r="B9" s="481">
        <v>19</v>
      </c>
      <c r="C9" s="481">
        <v>18</v>
      </c>
    </row>
    <row r="10" spans="1:9" ht="30" x14ac:dyDescent="0.25">
      <c r="A10" s="482" t="s">
        <v>32</v>
      </c>
      <c r="B10" s="483">
        <v>8</v>
      </c>
      <c r="C10" s="483">
        <v>8</v>
      </c>
    </row>
    <row r="12" spans="1:9" x14ac:dyDescent="0.25">
      <c r="A12" t="s">
        <v>180</v>
      </c>
      <c r="B12" s="473" t="s">
        <v>28</v>
      </c>
      <c r="C12" t="s">
        <v>29</v>
      </c>
      <c r="D12" t="s">
        <v>183</v>
      </c>
      <c r="E12" t="s">
        <v>32</v>
      </c>
    </row>
    <row r="13" spans="1:9" x14ac:dyDescent="0.25">
      <c r="A13" s="474" t="s">
        <v>178</v>
      </c>
      <c r="B13" s="475">
        <v>91</v>
      </c>
      <c r="C13">
        <v>241</v>
      </c>
      <c r="D13">
        <v>19</v>
      </c>
      <c r="E13">
        <v>8</v>
      </c>
    </row>
    <row r="14" spans="1:9" x14ac:dyDescent="0.25">
      <c r="A14" s="476" t="s">
        <v>179</v>
      </c>
      <c r="B14" s="477">
        <v>89</v>
      </c>
      <c r="C14">
        <v>234</v>
      </c>
      <c r="D14">
        <v>18</v>
      </c>
      <c r="E14">
        <v>8</v>
      </c>
    </row>
    <row r="16" spans="1:9" ht="11.1" customHeight="1" x14ac:dyDescent="0.25">
      <c r="A16" s="368"/>
      <c r="B16" s="473" t="s">
        <v>184</v>
      </c>
      <c r="C16" s="473" t="s">
        <v>4</v>
      </c>
      <c r="D16" s="473" t="s">
        <v>29</v>
      </c>
      <c r="E16" s="473" t="s">
        <v>79</v>
      </c>
      <c r="F16" s="473" t="s">
        <v>185</v>
      </c>
      <c r="G16" s="473" t="s">
        <v>64</v>
      </c>
      <c r="H16" s="473" t="s">
        <v>186</v>
      </c>
      <c r="I16" s="473" t="s">
        <v>60</v>
      </c>
    </row>
    <row r="17" spans="1:9" ht="11.1" customHeight="1" x14ac:dyDescent="0.25">
      <c r="A17" s="484" t="s">
        <v>187</v>
      </c>
      <c r="B17" s="369">
        <v>14</v>
      </c>
      <c r="C17" s="369">
        <v>90</v>
      </c>
      <c r="D17" s="369">
        <v>93</v>
      </c>
      <c r="E17" s="369">
        <v>10</v>
      </c>
      <c r="F17" s="369">
        <v>42</v>
      </c>
      <c r="G17" s="369">
        <v>38</v>
      </c>
      <c r="H17" s="369">
        <v>25</v>
      </c>
      <c r="I17" s="369">
        <v>312</v>
      </c>
    </row>
    <row r="18" spans="1:9" ht="11.1" customHeight="1" x14ac:dyDescent="0.25">
      <c r="A18" s="484" t="s">
        <v>145</v>
      </c>
      <c r="B18" s="369"/>
      <c r="C18" s="369">
        <v>103.2</v>
      </c>
      <c r="D18" s="369">
        <v>104.3</v>
      </c>
      <c r="E18" s="369">
        <v>104.2</v>
      </c>
      <c r="F18" s="369">
        <v>104.8</v>
      </c>
      <c r="G18" s="369">
        <v>104.2</v>
      </c>
      <c r="H18" s="369"/>
      <c r="I18" s="369"/>
    </row>
    <row r="19" spans="1:9" ht="11.1" customHeight="1" x14ac:dyDescent="0.25">
      <c r="A19" s="484" t="s">
        <v>123</v>
      </c>
      <c r="B19" s="369">
        <v>15</v>
      </c>
      <c r="C19" s="369">
        <v>93</v>
      </c>
      <c r="D19" s="369">
        <v>97</v>
      </c>
      <c r="E19" s="369">
        <v>10</v>
      </c>
      <c r="F19" s="369">
        <v>44</v>
      </c>
      <c r="G19" s="369">
        <v>40</v>
      </c>
      <c r="H19" s="369">
        <v>29</v>
      </c>
      <c r="I19" s="369">
        <v>328</v>
      </c>
    </row>
    <row r="20" spans="1:9" ht="11.1" customHeight="1" x14ac:dyDescent="0.25">
      <c r="A20" s="484" t="s">
        <v>188</v>
      </c>
      <c r="B20" s="369"/>
      <c r="C20" s="369">
        <v>115.3</v>
      </c>
      <c r="D20" s="369">
        <v>104.3</v>
      </c>
      <c r="E20" s="369">
        <v>105.8</v>
      </c>
      <c r="F20" s="369">
        <v>104.6</v>
      </c>
      <c r="G20" s="369">
        <v>104.5</v>
      </c>
      <c r="H20" s="369">
        <v>104.6</v>
      </c>
      <c r="I20" s="369"/>
    </row>
    <row r="21" spans="1:9" ht="11.1" customHeight="1" x14ac:dyDescent="0.25">
      <c r="A21" s="484" t="s">
        <v>125</v>
      </c>
      <c r="B21" s="369">
        <v>16</v>
      </c>
      <c r="C21" s="369">
        <v>107</v>
      </c>
      <c r="D21" s="369">
        <v>101</v>
      </c>
      <c r="E21" s="369">
        <v>11</v>
      </c>
      <c r="F21" s="369">
        <v>46</v>
      </c>
      <c r="G21" s="369">
        <v>42</v>
      </c>
      <c r="H21" s="369">
        <v>30</v>
      </c>
      <c r="I21" s="369">
        <v>353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13" sqref="B13"/>
    </sheetView>
  </sheetViews>
  <sheetFormatPr baseColWidth="10" defaultColWidth="11" defaultRowHeight="13.2" x14ac:dyDescent="0.25"/>
  <cols>
    <col min="1" max="1" width="11" customWidth="1"/>
    <col min="2" max="7" width="20.6640625" customWidth="1"/>
  </cols>
  <sheetData>
    <row r="1" spans="1:7" ht="24.9" customHeight="1" x14ac:dyDescent="0.25">
      <c r="A1" s="543"/>
      <c r="B1" s="565" t="s">
        <v>189</v>
      </c>
      <c r="C1" s="565"/>
      <c r="D1" s="565"/>
      <c r="E1" s="566" t="s">
        <v>190</v>
      </c>
      <c r="F1" s="566"/>
      <c r="G1" s="566"/>
    </row>
    <row r="2" spans="1:7" ht="24.9" customHeight="1" x14ac:dyDescent="0.25">
      <c r="A2" s="544"/>
      <c r="B2" s="545" t="s">
        <v>60</v>
      </c>
      <c r="C2" s="545" t="s">
        <v>191</v>
      </c>
      <c r="D2" s="545" t="s">
        <v>192</v>
      </c>
      <c r="E2" s="545" t="s">
        <v>60</v>
      </c>
      <c r="F2" s="545" t="s">
        <v>191</v>
      </c>
      <c r="G2" s="546" t="s">
        <v>192</v>
      </c>
    </row>
    <row r="3" spans="1:7" ht="24.9" customHeight="1" x14ac:dyDescent="0.25">
      <c r="A3" s="547" t="s">
        <v>48</v>
      </c>
      <c r="B3" s="548">
        <f>C3+D3</f>
        <v>2051</v>
      </c>
      <c r="C3" s="549">
        <v>284</v>
      </c>
      <c r="D3" s="548">
        <v>1767</v>
      </c>
      <c r="E3" s="548">
        <f>F3+G3</f>
        <v>2116</v>
      </c>
      <c r="F3" s="549">
        <v>293</v>
      </c>
      <c r="G3" s="550">
        <v>1823</v>
      </c>
    </row>
    <row r="4" spans="1:7" ht="24.9" customHeight="1" x14ac:dyDescent="0.25">
      <c r="A4" s="547" t="s">
        <v>12</v>
      </c>
      <c r="B4" s="548">
        <f>C4+D4</f>
        <v>446</v>
      </c>
      <c r="C4" s="549">
        <v>35</v>
      </c>
      <c r="D4" s="549">
        <v>411</v>
      </c>
      <c r="E4" s="548">
        <f>F4+G4</f>
        <v>460</v>
      </c>
      <c r="F4" s="549">
        <v>36</v>
      </c>
      <c r="G4" s="550">
        <v>424</v>
      </c>
    </row>
    <row r="5" spans="1:7" ht="24.9" customHeight="1" x14ac:dyDescent="0.25">
      <c r="A5" s="551" t="s">
        <v>9</v>
      </c>
      <c r="B5" s="552">
        <f>C5+D5</f>
        <v>2497</v>
      </c>
      <c r="C5" s="553">
        <v>319</v>
      </c>
      <c r="D5" s="552">
        <v>2178</v>
      </c>
      <c r="E5" s="552">
        <f>F5+G5</f>
        <v>2576</v>
      </c>
      <c r="F5" s="553">
        <v>329</v>
      </c>
      <c r="G5" s="554">
        <v>2247</v>
      </c>
    </row>
  </sheetData>
  <sheetProtection selectLockedCells="1" selectUnlockedCells="1"/>
  <mergeCells count="2">
    <mergeCell ref="B1:D1"/>
    <mergeCell ref="E1:G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TES N-1</vt:lpstr>
      <vt:lpstr>TES N VOLUME étape1</vt:lpstr>
      <vt:lpstr>TES volume étape 1bis</vt:lpstr>
      <vt:lpstr>TES volume étape 2</vt:lpstr>
      <vt:lpstr>TES Volume étape 3</vt:lpstr>
      <vt:lpstr>TES Valeur étape 4 base 95</vt:lpstr>
      <vt:lpstr>TES Valeur étape 5 base 95</vt:lpstr>
      <vt:lpstr>matrice production</vt:lpstr>
      <vt:lpstr>CALCUL EFFET COLONNE ET TEI</vt:lpstr>
      <vt:lpstr>TES Valeur base 2000 étape 6</vt:lpstr>
      <vt:lpstr>TES Valeur base 2000 étape 7</vt:lpstr>
      <vt:lpstr>agric</vt:lpstr>
      <vt:lpstr>energ</vt:lpstr>
      <vt:lpstr>indus1</vt:lpstr>
      <vt:lpstr>indus2</vt:lpstr>
      <vt:lpstr>BTP1</vt:lpstr>
      <vt:lpstr>btp2</vt:lpstr>
      <vt:lpstr>Serv.Mrchd1</vt:lpstr>
      <vt:lpstr>Serv.Mrchd2</vt:lpstr>
      <vt:lpstr>servNM</vt:lpstr>
      <vt:lpstr>cases fixées</vt:lpstr>
      <vt:lpstr>calcul CI FBCF industrie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Jeremy Schilliger</cp:lastModifiedBy>
  <dcterms:created xsi:type="dcterms:W3CDTF">2019-08-28T16:29:58Z</dcterms:created>
  <dcterms:modified xsi:type="dcterms:W3CDTF">2019-09-24T18:37:53Z</dcterms:modified>
</cp:coreProperties>
</file>