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5600" windowHeight="11760"/>
  </bookViews>
  <sheets>
    <sheet name="Enoncé" sheetId="5" r:id="rId1"/>
    <sheet name="arbitrage emplois finals et ag " sheetId="6" r:id="rId2"/>
    <sheet name="arbitrage Indus A" sheetId="9" r:id="rId3"/>
    <sheet name="arbitage Indus B" sheetId="10" r:id="rId4"/>
    <sheet name="arbitage BTP services 1° méthod" sheetId="12" r:id="rId5"/>
    <sheet name="arbitrage  final 2° méthode" sheetId="13" r:id="rId6"/>
    <sheet name="arbitrage  final 3° méthode (F)" sheetId="17" r:id="rId7"/>
    <sheet name="RAS" sheetId="1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17"/>
  <c r="C58"/>
  <c r="K57"/>
  <c r="K56"/>
  <c r="K54"/>
  <c r="K55"/>
  <c r="K53"/>
  <c r="J57"/>
  <c r="J55"/>
  <c r="J53"/>
  <c r="J56"/>
  <c r="D30"/>
  <c r="E30"/>
  <c r="F30"/>
  <c r="G30"/>
  <c r="D31"/>
  <c r="E31"/>
  <c r="F31"/>
  <c r="G31"/>
  <c r="D32"/>
  <c r="E32"/>
  <c r="F32"/>
  <c r="G32"/>
  <c r="D33"/>
  <c r="E33"/>
  <c r="F33"/>
  <c r="G33"/>
  <c r="E29"/>
  <c r="F29"/>
  <c r="G29"/>
  <c r="D29"/>
  <c r="H46"/>
  <c r="H47"/>
  <c r="G12"/>
  <c r="F12"/>
  <c r="E12"/>
  <c r="D12"/>
  <c r="C11"/>
  <c r="C12" s="1"/>
  <c r="H55"/>
  <c r="H56"/>
  <c r="H57"/>
  <c r="H54"/>
  <c r="F11" i="18"/>
  <c r="F12"/>
  <c r="F13"/>
  <c r="F10"/>
  <c r="L40" i="12"/>
  <c r="L40" i="9"/>
  <c r="K70" i="17"/>
  <c r="K68"/>
  <c r="C36"/>
  <c r="G36"/>
  <c r="G48"/>
  <c r="G60" s="1"/>
  <c r="G73" s="1"/>
  <c r="E36"/>
  <c r="E48" s="1"/>
  <c r="D36"/>
  <c r="F24"/>
  <c r="F36"/>
  <c r="K21"/>
  <c r="K33" s="1"/>
  <c r="K45" s="1"/>
  <c r="J21"/>
  <c r="J33" s="1"/>
  <c r="J45" s="1"/>
  <c r="G21"/>
  <c r="G34" i="6"/>
  <c r="G23"/>
  <c r="G35" s="1"/>
  <c r="G24"/>
  <c r="G36" s="1"/>
  <c r="G25"/>
  <c r="G37" s="1"/>
  <c r="G26"/>
  <c r="G38" s="1"/>
  <c r="G39"/>
  <c r="F21" i="17"/>
  <c r="F22" i="6"/>
  <c r="F34"/>
  <c r="F23"/>
  <c r="F35"/>
  <c r="F24"/>
  <c r="F36"/>
  <c r="F36" i="10" s="1"/>
  <c r="F25" i="6"/>
  <c r="F37"/>
  <c r="F26"/>
  <c r="F38"/>
  <c r="F38" i="12" s="1"/>
  <c r="C21" i="17"/>
  <c r="C33"/>
  <c r="C45" s="1"/>
  <c r="I20"/>
  <c r="I32"/>
  <c r="I44" s="1"/>
  <c r="I56" s="1"/>
  <c r="I69" s="1"/>
  <c r="E20"/>
  <c r="E22" i="6"/>
  <c r="E34"/>
  <c r="E23"/>
  <c r="E35"/>
  <c r="E24"/>
  <c r="E36"/>
  <c r="E25"/>
  <c r="E37"/>
  <c r="E26"/>
  <c r="E38"/>
  <c r="D18" i="17"/>
  <c r="D22" i="6"/>
  <c r="C22"/>
  <c r="D34"/>
  <c r="D23"/>
  <c r="D35"/>
  <c r="D24"/>
  <c r="D36"/>
  <c r="D25"/>
  <c r="D37"/>
  <c r="D26"/>
  <c r="D38"/>
  <c r="K17" i="17"/>
  <c r="K29" s="1"/>
  <c r="K41" s="1"/>
  <c r="K66" s="1"/>
  <c r="J17"/>
  <c r="I22" i="5"/>
  <c r="I29" i="17"/>
  <c r="I41" s="1"/>
  <c r="D41" s="1"/>
  <c r="C17"/>
  <c r="C29" s="1"/>
  <c r="G24"/>
  <c r="G17"/>
  <c r="G18"/>
  <c r="G19"/>
  <c r="G20"/>
  <c r="G22"/>
  <c r="G23" s="1"/>
  <c r="E24"/>
  <c r="D24"/>
  <c r="C24"/>
  <c r="E21"/>
  <c r="D21"/>
  <c r="K20"/>
  <c r="K32" s="1"/>
  <c r="K44" s="1"/>
  <c r="J20"/>
  <c r="J32"/>
  <c r="J44" s="1"/>
  <c r="F20"/>
  <c r="D20"/>
  <c r="C20"/>
  <c r="C32" s="1"/>
  <c r="C44" s="1"/>
  <c r="C56" s="1"/>
  <c r="C69" s="1"/>
  <c r="H69" s="1"/>
  <c r="K19"/>
  <c r="K31" s="1"/>
  <c r="K43" s="1"/>
  <c r="J19"/>
  <c r="J31" s="1"/>
  <c r="J43" s="1"/>
  <c r="I19"/>
  <c r="I31" s="1"/>
  <c r="I43" s="1"/>
  <c r="I55" s="1"/>
  <c r="I68" s="1"/>
  <c r="F19"/>
  <c r="E19"/>
  <c r="D19"/>
  <c r="C19"/>
  <c r="C31" s="1"/>
  <c r="C43" s="1"/>
  <c r="K18"/>
  <c r="K30" s="1"/>
  <c r="K42" s="1"/>
  <c r="J18"/>
  <c r="I18"/>
  <c r="I30" s="1"/>
  <c r="I42" s="1"/>
  <c r="I54" s="1"/>
  <c r="I67" s="1"/>
  <c r="F18"/>
  <c r="F17"/>
  <c r="E18"/>
  <c r="C18"/>
  <c r="C30" s="1"/>
  <c r="C42" s="1"/>
  <c r="C54" s="1"/>
  <c r="C67" s="1"/>
  <c r="H67" s="1"/>
  <c r="I17"/>
  <c r="E17"/>
  <c r="E22" s="1"/>
  <c r="D17"/>
  <c r="G29" i="6"/>
  <c r="F29"/>
  <c r="E29"/>
  <c r="D29"/>
  <c r="C23"/>
  <c r="C24"/>
  <c r="C25"/>
  <c r="C26"/>
  <c r="C29"/>
  <c r="H29"/>
  <c r="F9" i="17"/>
  <c r="E9"/>
  <c r="C9"/>
  <c r="D8"/>
  <c r="H8" s="1"/>
  <c r="H7"/>
  <c r="H6"/>
  <c r="H5"/>
  <c r="H4"/>
  <c r="J68"/>
  <c r="G25" i="13"/>
  <c r="G37" s="1"/>
  <c r="F25"/>
  <c r="F37" s="1"/>
  <c r="G26"/>
  <c r="G38" s="1"/>
  <c r="E24"/>
  <c r="E36" s="1"/>
  <c r="G23"/>
  <c r="G35" s="1"/>
  <c r="F23"/>
  <c r="F35" s="1"/>
  <c r="E23"/>
  <c r="E35" s="1"/>
  <c r="D26"/>
  <c r="D38" s="1"/>
  <c r="D22"/>
  <c r="J23"/>
  <c r="J35" s="1"/>
  <c r="J24"/>
  <c r="J36" s="1"/>
  <c r="J22"/>
  <c r="J34" s="1"/>
  <c r="G41"/>
  <c r="E41"/>
  <c r="D41"/>
  <c r="C41"/>
  <c r="I24"/>
  <c r="I36" s="1"/>
  <c r="I34"/>
  <c r="I39" s="1"/>
  <c r="I23"/>
  <c r="I35"/>
  <c r="I25"/>
  <c r="I37"/>
  <c r="D8"/>
  <c r="I26"/>
  <c r="I38" s="1"/>
  <c r="G34"/>
  <c r="G29"/>
  <c r="F29"/>
  <c r="E29"/>
  <c r="D29"/>
  <c r="C29"/>
  <c r="H29" s="1"/>
  <c r="K26"/>
  <c r="K38" s="1"/>
  <c r="J26"/>
  <c r="J38" s="1"/>
  <c r="F26"/>
  <c r="F38" s="1"/>
  <c r="E26"/>
  <c r="E38" s="1"/>
  <c r="C26"/>
  <c r="C38" s="1"/>
  <c r="K25"/>
  <c r="K37" s="1"/>
  <c r="J25"/>
  <c r="J37" s="1"/>
  <c r="E25"/>
  <c r="E37" s="1"/>
  <c r="D25"/>
  <c r="D37" s="1"/>
  <c r="C25"/>
  <c r="C37" s="1"/>
  <c r="K24"/>
  <c r="G24"/>
  <c r="G36"/>
  <c r="F24"/>
  <c r="F36"/>
  <c r="D24"/>
  <c r="D36"/>
  <c r="C24"/>
  <c r="H24"/>
  <c r="K23"/>
  <c r="K35"/>
  <c r="D23"/>
  <c r="D35"/>
  <c r="C23"/>
  <c r="H23"/>
  <c r="K22"/>
  <c r="K34"/>
  <c r="I22"/>
  <c r="G22"/>
  <c r="G27" s="1"/>
  <c r="G28"/>
  <c r="F22"/>
  <c r="F34"/>
  <c r="E22"/>
  <c r="E34"/>
  <c r="C22"/>
  <c r="C27" s="1"/>
  <c r="F9"/>
  <c r="E9"/>
  <c r="C9"/>
  <c r="H7"/>
  <c r="H6"/>
  <c r="H5"/>
  <c r="H4"/>
  <c r="I34" i="6"/>
  <c r="I34" i="9"/>
  <c r="I23"/>
  <c r="I35"/>
  <c r="I24"/>
  <c r="I36"/>
  <c r="I25"/>
  <c r="I37"/>
  <c r="D8"/>
  <c r="I26"/>
  <c r="I38" s="1"/>
  <c r="I34" i="10"/>
  <c r="I23"/>
  <c r="I35"/>
  <c r="I24"/>
  <c r="I36"/>
  <c r="I25"/>
  <c r="I37"/>
  <c r="D8"/>
  <c r="I26"/>
  <c r="I38" s="1"/>
  <c r="I34" i="12"/>
  <c r="I39" s="1"/>
  <c r="I23"/>
  <c r="I35"/>
  <c r="I24"/>
  <c r="I36"/>
  <c r="I25"/>
  <c r="I37"/>
  <c r="D8"/>
  <c r="I26"/>
  <c r="I38" s="1"/>
  <c r="D25" i="10"/>
  <c r="D37" s="1"/>
  <c r="D23"/>
  <c r="D35" s="1"/>
  <c r="D35" i="12" s="1"/>
  <c r="C26"/>
  <c r="D26"/>
  <c r="E26"/>
  <c r="F26"/>
  <c r="G26"/>
  <c r="H26"/>
  <c r="C23" i="10"/>
  <c r="C35" s="1"/>
  <c r="E23"/>
  <c r="E35" s="1"/>
  <c r="F23"/>
  <c r="G23"/>
  <c r="G35" s="1"/>
  <c r="C25" i="12"/>
  <c r="D25"/>
  <c r="E25"/>
  <c r="F25"/>
  <c r="G25"/>
  <c r="J25"/>
  <c r="J37"/>
  <c r="K25"/>
  <c r="K37"/>
  <c r="C41"/>
  <c r="D41"/>
  <c r="E41"/>
  <c r="F29"/>
  <c r="G41"/>
  <c r="D23" i="9"/>
  <c r="E37" i="12"/>
  <c r="D22" i="9"/>
  <c r="C22"/>
  <c r="D34" s="1"/>
  <c r="D24"/>
  <c r="D36" s="1"/>
  <c r="D25"/>
  <c r="D37" s="1"/>
  <c r="D26"/>
  <c r="D38" s="1"/>
  <c r="I22" i="6"/>
  <c r="E38" i="10"/>
  <c r="E38" i="12" s="1"/>
  <c r="C38"/>
  <c r="F37"/>
  <c r="F22" i="9"/>
  <c r="F23"/>
  <c r="F24"/>
  <c r="F25"/>
  <c r="F26"/>
  <c r="F27"/>
  <c r="G22"/>
  <c r="G23"/>
  <c r="G35" s="1"/>
  <c r="G24"/>
  <c r="G25"/>
  <c r="G26"/>
  <c r="G27"/>
  <c r="C41"/>
  <c r="D41"/>
  <c r="E41"/>
  <c r="F29"/>
  <c r="F41" s="1"/>
  <c r="G41"/>
  <c r="E22"/>
  <c r="E23"/>
  <c r="E24"/>
  <c r="E25"/>
  <c r="E26"/>
  <c r="E27"/>
  <c r="Q3" i="12"/>
  <c r="H4"/>
  <c r="H5"/>
  <c r="H6"/>
  <c r="H7"/>
  <c r="H8"/>
  <c r="C9"/>
  <c r="D9"/>
  <c r="E9"/>
  <c r="F9"/>
  <c r="C29"/>
  <c r="C22"/>
  <c r="C23"/>
  <c r="C24"/>
  <c r="C27"/>
  <c r="D29"/>
  <c r="D22"/>
  <c r="D23"/>
  <c r="D24"/>
  <c r="D27"/>
  <c r="G29"/>
  <c r="G22"/>
  <c r="G23"/>
  <c r="G24"/>
  <c r="H24" s="1"/>
  <c r="F22"/>
  <c r="F23"/>
  <c r="F24"/>
  <c r="F27"/>
  <c r="E29"/>
  <c r="E22"/>
  <c r="E23"/>
  <c r="E35" s="1"/>
  <c r="E24"/>
  <c r="E27"/>
  <c r="J22"/>
  <c r="J34" s="1"/>
  <c r="J23"/>
  <c r="J24"/>
  <c r="J36" s="1"/>
  <c r="J26"/>
  <c r="J27"/>
  <c r="K22"/>
  <c r="K23"/>
  <c r="K24"/>
  <c r="K26"/>
  <c r="L24"/>
  <c r="H22"/>
  <c r="I22"/>
  <c r="N22"/>
  <c r="N24"/>
  <c r="H29"/>
  <c r="J35"/>
  <c r="J38"/>
  <c r="K35"/>
  <c r="C34"/>
  <c r="C36"/>
  <c r="D34"/>
  <c r="E34"/>
  <c r="F34"/>
  <c r="G34"/>
  <c r="H34"/>
  <c r="F35"/>
  <c r="G35"/>
  <c r="D36"/>
  <c r="Q3" i="10"/>
  <c r="H4"/>
  <c r="H5"/>
  <c r="H6"/>
  <c r="H7"/>
  <c r="H8"/>
  <c r="C9"/>
  <c r="E9"/>
  <c r="F9"/>
  <c r="C22"/>
  <c r="D22"/>
  <c r="D24"/>
  <c r="D26"/>
  <c r="E22"/>
  <c r="F22"/>
  <c r="F24"/>
  <c r="F25"/>
  <c r="F26"/>
  <c r="G22"/>
  <c r="I22"/>
  <c r="J22"/>
  <c r="J34" s="1"/>
  <c r="K22"/>
  <c r="K34" s="1"/>
  <c r="H23"/>
  <c r="J23"/>
  <c r="K23"/>
  <c r="K24"/>
  <c r="K27" s="1"/>
  <c r="N20" s="1"/>
  <c r="K25"/>
  <c r="K26"/>
  <c r="C24"/>
  <c r="D36"/>
  <c r="E24"/>
  <c r="G24"/>
  <c r="J24"/>
  <c r="J36" s="1"/>
  <c r="J39" s="1"/>
  <c r="L40" s="1"/>
  <c r="C25"/>
  <c r="E25"/>
  <c r="G25"/>
  <c r="E37"/>
  <c r="J25"/>
  <c r="K37"/>
  <c r="C26"/>
  <c r="D38"/>
  <c r="D38" i="12" s="1"/>
  <c r="E26" i="10"/>
  <c r="G26"/>
  <c r="G27" s="1"/>
  <c r="G28" s="1"/>
  <c r="G40" s="1"/>
  <c r="G40" i="12" s="1"/>
  <c r="J26" i="10"/>
  <c r="C27"/>
  <c r="J27"/>
  <c r="C29"/>
  <c r="C28"/>
  <c r="D29"/>
  <c r="E29"/>
  <c r="H29" s="1"/>
  <c r="F29"/>
  <c r="G29"/>
  <c r="C34"/>
  <c r="D34"/>
  <c r="F34"/>
  <c r="G34"/>
  <c r="J35"/>
  <c r="C36"/>
  <c r="K36"/>
  <c r="J37"/>
  <c r="C38"/>
  <c r="J38"/>
  <c r="K38"/>
  <c r="C41"/>
  <c r="D41"/>
  <c r="E41"/>
  <c r="G41"/>
  <c r="F35" i="9"/>
  <c r="E35"/>
  <c r="H4"/>
  <c r="H5"/>
  <c r="H6"/>
  <c r="H7"/>
  <c r="H8"/>
  <c r="C9"/>
  <c r="E9"/>
  <c r="F9"/>
  <c r="C29"/>
  <c r="C23"/>
  <c r="H23" s="1"/>
  <c r="L23" s="1"/>
  <c r="C24"/>
  <c r="C25"/>
  <c r="C26"/>
  <c r="C27"/>
  <c r="C28" s="1"/>
  <c r="D29"/>
  <c r="G29"/>
  <c r="E29"/>
  <c r="E28" s="1"/>
  <c r="J22"/>
  <c r="J23"/>
  <c r="J35"/>
  <c r="J24"/>
  <c r="J25"/>
  <c r="J37" s="1"/>
  <c r="J26"/>
  <c r="K22"/>
  <c r="K23"/>
  <c r="K35"/>
  <c r="K24"/>
  <c r="K25"/>
  <c r="K37" s="1"/>
  <c r="K26"/>
  <c r="H22"/>
  <c r="I22"/>
  <c r="L22"/>
  <c r="N23"/>
  <c r="H24"/>
  <c r="L24" s="1"/>
  <c r="H25"/>
  <c r="N25"/>
  <c r="L25"/>
  <c r="H26"/>
  <c r="L26" s="1"/>
  <c r="L27" s="1"/>
  <c r="H29"/>
  <c r="J34"/>
  <c r="J36"/>
  <c r="J38"/>
  <c r="K34"/>
  <c r="K36"/>
  <c r="K38"/>
  <c r="C34"/>
  <c r="C35"/>
  <c r="C36"/>
  <c r="C37"/>
  <c r="C38"/>
  <c r="C39" s="1"/>
  <c r="C40" s="1"/>
  <c r="E34"/>
  <c r="F34"/>
  <c r="G34"/>
  <c r="H34"/>
  <c r="L34" s="1"/>
  <c r="J26" i="6"/>
  <c r="J38" s="1"/>
  <c r="K26"/>
  <c r="K38" s="1"/>
  <c r="K23"/>
  <c r="K35" s="1"/>
  <c r="J23"/>
  <c r="J35" s="1"/>
  <c r="J25"/>
  <c r="J37" s="1"/>
  <c r="K25"/>
  <c r="K37" s="1"/>
  <c r="D23" i="5"/>
  <c r="H4" i="6"/>
  <c r="H5"/>
  <c r="H6"/>
  <c r="H7"/>
  <c r="H9" s="1"/>
  <c r="D8"/>
  <c r="H8"/>
  <c r="C9"/>
  <c r="E9"/>
  <c r="F9"/>
  <c r="H26"/>
  <c r="D27"/>
  <c r="D28" s="1"/>
  <c r="G22"/>
  <c r="F27"/>
  <c r="F28"/>
  <c r="E27"/>
  <c r="J22"/>
  <c r="J24"/>
  <c r="J27"/>
  <c r="K22"/>
  <c r="K34"/>
  <c r="K24"/>
  <c r="K27"/>
  <c r="H22"/>
  <c r="L22"/>
  <c r="N22"/>
  <c r="I23"/>
  <c r="I35" s="1"/>
  <c r="I24"/>
  <c r="I36" s="1"/>
  <c r="I25"/>
  <c r="I37" s="1"/>
  <c r="I26"/>
  <c r="I38" s="1"/>
  <c r="K36"/>
  <c r="J34"/>
  <c r="G41"/>
  <c r="D41"/>
  <c r="C41"/>
  <c r="C34"/>
  <c r="C35"/>
  <c r="C36"/>
  <c r="C37"/>
  <c r="C38"/>
  <c r="C39"/>
  <c r="H36"/>
  <c r="H37"/>
  <c r="H38"/>
  <c r="F41"/>
  <c r="E41"/>
  <c r="G23" i="5"/>
  <c r="C22"/>
  <c r="D22"/>
  <c r="D27" s="1"/>
  <c r="D28" s="1"/>
  <c r="E22"/>
  <c r="F22"/>
  <c r="G22"/>
  <c r="C23"/>
  <c r="E23"/>
  <c r="F23"/>
  <c r="C24"/>
  <c r="D24"/>
  <c r="E24"/>
  <c r="F24"/>
  <c r="G24"/>
  <c r="C25"/>
  <c r="H25" s="1"/>
  <c r="D25"/>
  <c r="E25"/>
  <c r="F25"/>
  <c r="G25"/>
  <c r="C26"/>
  <c r="D26"/>
  <c r="E26"/>
  <c r="E27" s="1"/>
  <c r="E28" s="1"/>
  <c r="F26"/>
  <c r="G26"/>
  <c r="K22"/>
  <c r="K23"/>
  <c r="K24"/>
  <c r="K25"/>
  <c r="K26"/>
  <c r="J22"/>
  <c r="J27" s="1"/>
  <c r="L28" s="1"/>
  <c r="J23"/>
  <c r="J24"/>
  <c r="J25"/>
  <c r="J26"/>
  <c r="I23"/>
  <c r="I24"/>
  <c r="I25"/>
  <c r="F29"/>
  <c r="E29"/>
  <c r="F27"/>
  <c r="F28" s="1"/>
  <c r="D29"/>
  <c r="G27"/>
  <c r="G29"/>
  <c r="C29"/>
  <c r="C28" s="1"/>
  <c r="C27"/>
  <c r="H6"/>
  <c r="H4"/>
  <c r="H5"/>
  <c r="H9" s="1"/>
  <c r="H7"/>
  <c r="C9"/>
  <c r="F9"/>
  <c r="D8"/>
  <c r="I26" s="1"/>
  <c r="E9"/>
  <c r="H8"/>
  <c r="K27"/>
  <c r="H29"/>
  <c r="D9"/>
  <c r="F39" i="9"/>
  <c r="F28"/>
  <c r="H41"/>
  <c r="J39"/>
  <c r="K39"/>
  <c r="N24"/>
  <c r="N22"/>
  <c r="H9"/>
  <c r="H35" i="6"/>
  <c r="C40"/>
  <c r="G40"/>
  <c r="N28"/>
  <c r="E28"/>
  <c r="H24"/>
  <c r="G28" i="5"/>
  <c r="H34" i="6"/>
  <c r="L34" s="1"/>
  <c r="N26"/>
  <c r="L26"/>
  <c r="N24"/>
  <c r="L24"/>
  <c r="E36" i="10"/>
  <c r="E36" i="12"/>
  <c r="E39" i="9"/>
  <c r="E40"/>
  <c r="G39"/>
  <c r="G28"/>
  <c r="H26" i="5"/>
  <c r="M26" s="1"/>
  <c r="H24"/>
  <c r="M24" s="1"/>
  <c r="H23"/>
  <c r="M23" s="1"/>
  <c r="H22"/>
  <c r="M22" s="1"/>
  <c r="N32" i="9"/>
  <c r="N23" i="10"/>
  <c r="L23"/>
  <c r="G36"/>
  <c r="G36" i="12"/>
  <c r="D28"/>
  <c r="F39" i="10"/>
  <c r="F39" i="12" s="1"/>
  <c r="F40" i="9"/>
  <c r="H41" i="6"/>
  <c r="I39"/>
  <c r="J36"/>
  <c r="H25"/>
  <c r="H23"/>
  <c r="G27"/>
  <c r="G28" s="1"/>
  <c r="D9"/>
  <c r="D9" i="9"/>
  <c r="F41" i="10"/>
  <c r="H41" s="1"/>
  <c r="K35"/>
  <c r="K39" s="1"/>
  <c r="D9"/>
  <c r="F36" i="12"/>
  <c r="K38"/>
  <c r="K36"/>
  <c r="K34"/>
  <c r="K39"/>
  <c r="L22"/>
  <c r="N23" i="6"/>
  <c r="L23"/>
  <c r="L24" i="5"/>
  <c r="L36" i="6"/>
  <c r="N26" i="9"/>
  <c r="N25" i="6"/>
  <c r="L25"/>
  <c r="G39" i="10"/>
  <c r="G39" i="12" s="1"/>
  <c r="G40" i="9"/>
  <c r="L34" i="12"/>
  <c r="L27" i="6"/>
  <c r="F27" i="13"/>
  <c r="F28" s="1"/>
  <c r="K27"/>
  <c r="F39"/>
  <c r="F41"/>
  <c r="F40"/>
  <c r="C35"/>
  <c r="H35" s="1"/>
  <c r="L35" s="1"/>
  <c r="H41"/>
  <c r="E39"/>
  <c r="E40" s="1"/>
  <c r="C28"/>
  <c r="E27"/>
  <c r="L23"/>
  <c r="N23"/>
  <c r="L24"/>
  <c r="N24"/>
  <c r="H37"/>
  <c r="L37"/>
  <c r="H38"/>
  <c r="L38"/>
  <c r="G39"/>
  <c r="G40"/>
  <c r="J39"/>
  <c r="H22"/>
  <c r="H26"/>
  <c r="E28"/>
  <c r="J27"/>
  <c r="D9"/>
  <c r="C34"/>
  <c r="C36"/>
  <c r="H36"/>
  <c r="K36"/>
  <c r="K39"/>
  <c r="H8"/>
  <c r="H9"/>
  <c r="H25"/>
  <c r="L36"/>
  <c r="L28"/>
  <c r="N22"/>
  <c r="L22"/>
  <c r="L40"/>
  <c r="L25"/>
  <c r="N25"/>
  <c r="N26"/>
  <c r="L26"/>
  <c r="C39"/>
  <c r="C40"/>
  <c r="L27"/>
  <c r="D22" i="17"/>
  <c r="C57"/>
  <c r="C70" s="1"/>
  <c r="H70" s="1"/>
  <c r="F48"/>
  <c r="J30"/>
  <c r="E60"/>
  <c r="E73" s="1"/>
  <c r="K22"/>
  <c r="D9"/>
  <c r="H18"/>
  <c r="D23"/>
  <c r="D48"/>
  <c r="D60" s="1"/>
  <c r="D73" s="1"/>
  <c r="H19"/>
  <c r="N19" s="1"/>
  <c r="H20"/>
  <c r="L20" s="1"/>
  <c r="L19"/>
  <c r="C55"/>
  <c r="C68" s="1"/>
  <c r="H68" s="1"/>
  <c r="N20"/>
  <c r="N18"/>
  <c r="L18"/>
  <c r="F60"/>
  <c r="F73" s="1"/>
  <c r="H11" l="1"/>
  <c r="H12" s="1"/>
  <c r="J70"/>
  <c r="L70" s="1"/>
  <c r="L25" i="5"/>
  <c r="M25"/>
  <c r="L26"/>
  <c r="L22"/>
  <c r="L23"/>
  <c r="H27"/>
  <c r="H28" s="1"/>
  <c r="L29" s="1"/>
  <c r="H9" i="17"/>
  <c r="C41"/>
  <c r="C53" s="1"/>
  <c r="C66" s="1"/>
  <c r="C34"/>
  <c r="C46" s="1"/>
  <c r="H17"/>
  <c r="H24"/>
  <c r="F22"/>
  <c r="F23" s="1"/>
  <c r="D37" i="12"/>
  <c r="D39" i="10"/>
  <c r="D39" i="12" s="1"/>
  <c r="N32" i="10"/>
  <c r="L35" i="6"/>
  <c r="J39"/>
  <c r="J54" i="17"/>
  <c r="L37" i="6"/>
  <c r="L39" s="1"/>
  <c r="K39"/>
  <c r="K41" s="1"/>
  <c r="L38"/>
  <c r="E27" i="10"/>
  <c r="E34"/>
  <c r="H34" s="1"/>
  <c r="H25" i="12"/>
  <c r="C37"/>
  <c r="H38"/>
  <c r="L38" s="1"/>
  <c r="L26"/>
  <c r="N26"/>
  <c r="J29" i="17"/>
  <c r="J22"/>
  <c r="L23" s="1"/>
  <c r="D39" i="6"/>
  <c r="C48" i="17"/>
  <c r="H36"/>
  <c r="H48" s="1"/>
  <c r="H60" s="1"/>
  <c r="H73" s="1"/>
  <c r="C35"/>
  <c r="E28" i="10"/>
  <c r="E40" s="1"/>
  <c r="E40" i="12" s="1"/>
  <c r="H24" i="10"/>
  <c r="H9"/>
  <c r="E28" i="12"/>
  <c r="G27"/>
  <c r="H9"/>
  <c r="I39" i="10"/>
  <c r="I21" i="17"/>
  <c r="I33" s="1"/>
  <c r="I45" s="1"/>
  <c r="I57" s="1"/>
  <c r="I70" s="1"/>
  <c r="C27" i="6"/>
  <c r="C22" i="17"/>
  <c r="H21"/>
  <c r="E23"/>
  <c r="H25" i="10"/>
  <c r="C37"/>
  <c r="C39" s="1"/>
  <c r="C40" s="1"/>
  <c r="D27"/>
  <c r="D28" s="1"/>
  <c r="H22"/>
  <c r="H23" i="12"/>
  <c r="C35"/>
  <c r="C39" s="1"/>
  <c r="C40" s="1"/>
  <c r="D35" i="9"/>
  <c r="D27"/>
  <c r="F41" i="12"/>
  <c r="F28"/>
  <c r="F35" i="10"/>
  <c r="H35" s="1"/>
  <c r="F27"/>
  <c r="F28" s="1"/>
  <c r="F40" s="1"/>
  <c r="F40" i="12" s="1"/>
  <c r="D34" i="13"/>
  <c r="D27"/>
  <c r="E39" i="6"/>
  <c r="F39"/>
  <c r="K27" i="9"/>
  <c r="J27"/>
  <c r="H26" i="10"/>
  <c r="K27" i="12"/>
  <c r="J39"/>
  <c r="C28"/>
  <c r="H41"/>
  <c r="I39" i="9"/>
  <c r="L68" i="17"/>
  <c r="J69"/>
  <c r="K69"/>
  <c r="K34"/>
  <c r="H36" i="10"/>
  <c r="H36" i="12" s="1"/>
  <c r="L36" s="1"/>
  <c r="I53" i="17"/>
  <c r="E39" i="10"/>
  <c r="E39" i="12" s="1"/>
  <c r="L69" i="17" l="1"/>
  <c r="L27" i="5"/>
  <c r="L17" i="17"/>
  <c r="N17"/>
  <c r="I46"/>
  <c r="G38" i="12"/>
  <c r="L34" i="10"/>
  <c r="K46" i="17"/>
  <c r="N20" i="9"/>
  <c r="E40" i="6"/>
  <c r="H34" i="13"/>
  <c r="D39"/>
  <c r="H35" i="12"/>
  <c r="L35" s="1"/>
  <c r="L35" i="10"/>
  <c r="H35" i="9"/>
  <c r="L35" s="1"/>
  <c r="D39"/>
  <c r="D40" s="1"/>
  <c r="N23" i="12"/>
  <c r="L23"/>
  <c r="D40" i="10"/>
  <c r="D40" i="12" s="1"/>
  <c r="H40" s="1"/>
  <c r="L41" s="1"/>
  <c r="N21" i="10"/>
  <c r="L25"/>
  <c r="N25"/>
  <c r="C28" i="6"/>
  <c r="N29" s="1"/>
  <c r="H27"/>
  <c r="H28" s="1"/>
  <c r="G28" i="12"/>
  <c r="H27"/>
  <c r="H28" s="1"/>
  <c r="C60" i="17"/>
  <c r="C73" s="1"/>
  <c r="C47"/>
  <c r="C59" s="1"/>
  <c r="C72" s="1"/>
  <c r="J41"/>
  <c r="J34"/>
  <c r="L35" s="1"/>
  <c r="N21" i="12"/>
  <c r="H32" i="17"/>
  <c r="L32" s="1"/>
  <c r="H27" i="10"/>
  <c r="H28" s="1"/>
  <c r="N20" i="12"/>
  <c r="N32"/>
  <c r="L26" i="10"/>
  <c r="N26"/>
  <c r="F40" i="6"/>
  <c r="E41" i="17"/>
  <c r="E53" s="1"/>
  <c r="E66" s="1"/>
  <c r="H27" i="13"/>
  <c r="H28" s="1"/>
  <c r="D28"/>
  <c r="L29" s="1"/>
  <c r="D28" i="9"/>
  <c r="N21" s="1"/>
  <c r="H27"/>
  <c r="H28" s="1"/>
  <c r="N22" i="10"/>
  <c r="L22"/>
  <c r="N33"/>
  <c r="H40"/>
  <c r="L41" s="1"/>
  <c r="L21" i="17"/>
  <c r="L22" s="1"/>
  <c r="N21"/>
  <c r="H22"/>
  <c r="H23" s="1"/>
  <c r="L24" s="1"/>
  <c r="C23"/>
  <c r="L24" i="10"/>
  <c r="N24"/>
  <c r="G41" i="17"/>
  <c r="G53" s="1"/>
  <c r="G66" s="1"/>
  <c r="G34"/>
  <c r="H39" i="6"/>
  <c r="H39" i="9" s="1"/>
  <c r="D40" i="6"/>
  <c r="H33" i="17"/>
  <c r="L33" s="1"/>
  <c r="L25" i="12"/>
  <c r="H37"/>
  <c r="N25"/>
  <c r="J41" i="6"/>
  <c r="N32"/>
  <c r="H31" i="17"/>
  <c r="L31" s="1"/>
  <c r="L36" i="10"/>
  <c r="I58" i="17"/>
  <c r="I66"/>
  <c r="I71" s="1"/>
  <c r="J67"/>
  <c r="G35" l="1"/>
  <c r="N33" i="12"/>
  <c r="H39" i="10"/>
  <c r="H39" i="12" s="1"/>
  <c r="H40" i="9"/>
  <c r="H29" i="17"/>
  <c r="L29" s="1"/>
  <c r="D34"/>
  <c r="F34"/>
  <c r="F41"/>
  <c r="F53" s="1"/>
  <c r="F66" s="1"/>
  <c r="D40" i="13"/>
  <c r="H39"/>
  <c r="K58" i="17"/>
  <c r="K67"/>
  <c r="K71" s="1"/>
  <c r="L27" i="10"/>
  <c r="E34" i="17"/>
  <c r="H30"/>
  <c r="L30" s="1"/>
  <c r="L37" i="12"/>
  <c r="L39" s="1"/>
  <c r="G37"/>
  <c r="N33" i="6"/>
  <c r="H40"/>
  <c r="J46" i="17"/>
  <c r="L47" s="1"/>
  <c r="L34" i="13"/>
  <c r="L39" s="1"/>
  <c r="L27" i="12"/>
  <c r="F35" i="17" l="1"/>
  <c r="E35"/>
  <c r="L67"/>
  <c r="N33" i="9"/>
  <c r="L41"/>
  <c r="H40" i="13"/>
  <c r="L41"/>
  <c r="L34" i="17"/>
  <c r="J66"/>
  <c r="J71" s="1"/>
  <c r="L72" s="1"/>
  <c r="J58"/>
  <c r="L59" s="1"/>
  <c r="C71"/>
  <c r="D35"/>
  <c r="H34"/>
  <c r="H35" l="1"/>
  <c r="L36" s="1"/>
  <c r="H41"/>
  <c r="L41" s="1"/>
  <c r="D53"/>
  <c r="D66" l="1"/>
  <c r="H53"/>
  <c r="H66" l="1"/>
  <c r="L66" s="1"/>
  <c r="L71" s="1"/>
  <c r="L53"/>
  <c r="L56" l="1"/>
  <c r="L55"/>
  <c r="L57"/>
  <c r="L54"/>
  <c r="O65"/>
  <c r="L58" l="1"/>
  <c r="G46" l="1"/>
  <c r="E46"/>
  <c r="F46"/>
  <c r="D46"/>
  <c r="E47" l="1"/>
  <c r="E45"/>
  <c r="C6" i="18" s="1"/>
  <c r="E44" i="17"/>
  <c r="C5" i="18" s="1"/>
  <c r="E43" i="17"/>
  <c r="C4" i="18" s="1"/>
  <c r="E42" i="17"/>
  <c r="C3" i="18" s="1"/>
  <c r="F58" i="17"/>
  <c r="F71" s="1"/>
  <c r="F42"/>
  <c r="D3" i="18" s="1"/>
  <c r="F44" i="17"/>
  <c r="D5" i="18" s="1"/>
  <c r="F43" i="17"/>
  <c r="D4" i="18" s="1"/>
  <c r="F45" i="17"/>
  <c r="D6" i="18" s="1"/>
  <c r="D58" i="17"/>
  <c r="D71" s="1"/>
  <c r="D45"/>
  <c r="D43"/>
  <c r="D42"/>
  <c r="D44"/>
  <c r="G47"/>
  <c r="G45"/>
  <c r="E6" i="18" s="1"/>
  <c r="G43" i="17"/>
  <c r="E4" i="18" s="1"/>
  <c r="G42" i="17"/>
  <c r="E3" i="18" s="1"/>
  <c r="G44" i="17"/>
  <c r="E5" i="18" s="1"/>
  <c r="D47" i="17"/>
  <c r="F47"/>
  <c r="E58"/>
  <c r="G58"/>
  <c r="D59" l="1"/>
  <c r="D72" s="1"/>
  <c r="F59"/>
  <c r="F72" s="1"/>
  <c r="C7" i="18"/>
  <c r="C14" s="1"/>
  <c r="B4"/>
  <c r="F4" s="1"/>
  <c r="H43" i="17"/>
  <c r="L43" s="1"/>
  <c r="N65"/>
  <c r="H42"/>
  <c r="L42" s="1"/>
  <c r="B3" i="18"/>
  <c r="H44" i="17"/>
  <c r="L44" s="1"/>
  <c r="B5" i="18"/>
  <c r="F5" s="1"/>
  <c r="D7"/>
  <c r="D14" s="1"/>
  <c r="B6"/>
  <c r="F6" s="1"/>
  <c r="H45" i="17"/>
  <c r="L45" s="1"/>
  <c r="E7" i="18"/>
  <c r="E14" s="1"/>
  <c r="E59" i="17"/>
  <c r="E72" s="1"/>
  <c r="E71"/>
  <c r="H58"/>
  <c r="H71" s="1"/>
  <c r="G59"/>
  <c r="G72" s="1"/>
  <c r="G71"/>
  <c r="L46" l="1"/>
  <c r="B7" i="18"/>
  <c r="B14" s="1"/>
  <c r="F14" s="1"/>
  <c r="F3"/>
  <c r="F7" s="1"/>
  <c r="H59" i="17"/>
  <c r="J59" l="1"/>
  <c r="L60"/>
  <c r="H72"/>
  <c r="L73" l="1"/>
  <c r="J72"/>
  <c r="L48"/>
</calcChain>
</file>

<file path=xl/sharedStrings.xml><?xml version="1.0" encoding="utf-8"?>
<sst xmlns="http://schemas.openxmlformats.org/spreadsheetml/2006/main" count="683" uniqueCount="65">
  <si>
    <t>CF</t>
  </si>
  <si>
    <t>FBCF</t>
  </si>
  <si>
    <t>Total</t>
  </si>
  <si>
    <t>Agri.</t>
  </si>
  <si>
    <t>Services</t>
  </si>
  <si>
    <t>Agriculture</t>
  </si>
  <si>
    <t>Prod.</t>
  </si>
  <si>
    <t>CI</t>
  </si>
  <si>
    <t>Consommations intermédiaires</t>
  </si>
  <si>
    <t>PIB</t>
  </si>
  <si>
    <t>Prod</t>
  </si>
  <si>
    <t>PIB prod</t>
  </si>
  <si>
    <t>PIB dema</t>
  </si>
  <si>
    <t>structure des achats en % de la production</t>
  </si>
  <si>
    <t>TES prennant en compte l'enquête sur la structure des achats</t>
  </si>
  <si>
    <t>TES arbitré</t>
  </si>
  <si>
    <t>APPROCHE ERE</t>
  </si>
  <si>
    <t>emplois</t>
  </si>
  <si>
    <t>FBCF  stocks</t>
  </si>
  <si>
    <t>Industrie A</t>
  </si>
  <si>
    <t>Industrie B</t>
  </si>
  <si>
    <t>Indus.A</t>
  </si>
  <si>
    <t>Indus.B</t>
  </si>
  <si>
    <t>ERE</t>
  </si>
  <si>
    <t>arbitrage</t>
  </si>
  <si>
    <t xml:space="preserve"> CI /Ci ERE</t>
  </si>
  <si>
    <t xml:space="preserve">rapport </t>
  </si>
  <si>
    <t>PIB dem</t>
  </si>
  <si>
    <t>VA</t>
  </si>
  <si>
    <t>BTP</t>
  </si>
  <si>
    <t>bleu: cases à ne pas changer</t>
  </si>
  <si>
    <t>Agricult.</t>
  </si>
  <si>
    <t>Ressource</t>
  </si>
  <si>
    <t>Produit</t>
  </si>
  <si>
    <t>?</t>
  </si>
  <si>
    <t xml:space="preserve"> 2° étape</t>
  </si>
  <si>
    <t xml:space="preserve"> 3° étape</t>
  </si>
  <si>
    <t xml:space="preserve"> 4° étape</t>
  </si>
  <si>
    <t xml:space="preserve">1° estimation </t>
  </si>
  <si>
    <t>rose : cases qui changent définitivement dans cette page</t>
  </si>
  <si>
    <t>vert: cases qui vont changer avec l'arbitrage</t>
  </si>
  <si>
    <t>équilibres-ressources-emplois donnés</t>
  </si>
  <si>
    <t>TES final arbitré</t>
  </si>
  <si>
    <t>vert: cases du TEI qui ont changé dans les étapes précédentes</t>
  </si>
  <si>
    <t>Total CI</t>
  </si>
  <si>
    <t>vert: cases qui changent avec l'arbitrage</t>
  </si>
  <si>
    <t>ISSUES DU TES CALÉ SUR PEC-CENF</t>
  </si>
  <si>
    <t>PIB revenu</t>
  </si>
  <si>
    <t>vert,  jaune et gris: cases arbitrées</t>
  </si>
  <si>
    <t>RAS</t>
  </si>
  <si>
    <t>somme</t>
  </si>
  <si>
    <t xml:space="preserve">PIB </t>
  </si>
  <si>
    <t>demande</t>
  </si>
  <si>
    <t xml:space="preserve">effet </t>
  </si>
  <si>
    <t>ligne</t>
  </si>
  <si>
    <t>product.</t>
  </si>
  <si>
    <t>2/ TES arbitré calage sur PIB issu du TEE (approche "revenu")</t>
  </si>
  <si>
    <t>effet</t>
  </si>
  <si>
    <t>1/ TES sans calage sur l'agriculture</t>
  </si>
  <si>
    <t>FINAL</t>
  </si>
  <si>
    <t>INITIAL</t>
  </si>
  <si>
    <t>ressource</t>
  </si>
  <si>
    <t>ARBITRAGE MANUEL</t>
  </si>
  <si>
    <t>4/ TES FINAL arbitré et TEI calculé par un RAS</t>
  </si>
  <si>
    <t>3/ TES arbitré sur PIB "revenu" : calage de manière à ceque les ressources (production) soient égales au total des emplois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</si>
</sst>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25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i/>
      <sz val="9"/>
      <color indexed="9"/>
      <name val="Arial"/>
      <family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i/>
      <sz val="12"/>
      <color indexed="10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i/>
      <sz val="16"/>
      <color indexed="9"/>
      <name val="Arial"/>
      <family val="2"/>
    </font>
    <font>
      <b/>
      <i/>
      <sz val="16"/>
      <name val="Arial"/>
      <family val="2"/>
    </font>
    <font>
      <b/>
      <sz val="16"/>
      <color indexed="18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12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12"/>
      </top>
      <bottom style="thick">
        <color indexed="64"/>
      </bottom>
      <diagonal/>
    </border>
    <border>
      <left style="medium">
        <color indexed="12"/>
      </left>
      <right/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thick">
        <color indexed="64"/>
      </right>
      <top style="medium">
        <color indexed="12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1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2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12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thick">
        <color indexed="64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thick">
        <color indexed="64"/>
      </left>
      <right style="medium">
        <color indexed="12"/>
      </right>
      <top style="thick">
        <color indexed="64"/>
      </top>
      <bottom/>
      <diagonal/>
    </border>
    <border>
      <left style="thick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12"/>
      </left>
      <right style="thick">
        <color indexed="64"/>
      </right>
      <top style="thick">
        <color indexed="64"/>
      </top>
      <bottom/>
      <diagonal/>
    </border>
    <border>
      <left style="medium">
        <color indexed="12"/>
      </left>
      <right style="thick">
        <color indexed="64"/>
      </right>
      <top/>
      <bottom style="medium">
        <color indexed="12"/>
      </bottom>
      <diagonal/>
    </border>
    <border>
      <left style="thick">
        <color indexed="64"/>
      </left>
      <right style="medium">
        <color indexed="12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12"/>
      </bottom>
      <diagonal/>
    </border>
    <border>
      <left/>
      <right style="thick">
        <color indexed="64"/>
      </right>
      <top style="medium">
        <color indexed="12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21" fillId="0" borderId="0"/>
  </cellStyleXfs>
  <cellXfs count="419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Continuous"/>
    </xf>
    <xf numFmtId="0" fontId="3" fillId="3" borderId="2" xfId="0" applyFont="1" applyFill="1" applyBorder="1" applyAlignment="1">
      <alignment horizontal="centerContinuous"/>
    </xf>
    <xf numFmtId="2" fontId="0" fillId="0" borderId="0" xfId="0" applyNumberFormat="1"/>
    <xf numFmtId="0" fontId="5" fillId="0" borderId="0" xfId="0" applyFont="1"/>
    <xf numFmtId="0" fontId="5" fillId="0" borderId="0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8" fillId="4" borderId="5" xfId="0" applyFont="1" applyFill="1" applyBorder="1" applyAlignment="1">
      <alignment vertical="top" wrapText="1"/>
    </xf>
    <xf numFmtId="0" fontId="8" fillId="4" borderId="6" xfId="0" applyFont="1" applyFill="1" applyBorder="1" applyAlignment="1">
      <alignment horizontal="center" vertical="top" wrapText="1"/>
    </xf>
    <xf numFmtId="0" fontId="10" fillId="0" borderId="6" xfId="0" applyFont="1" applyBorder="1"/>
    <xf numFmtId="0" fontId="8" fillId="4" borderId="7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8" fillId="5" borderId="8" xfId="0" applyFont="1" applyFill="1" applyBorder="1" applyAlignment="1">
      <alignment vertical="top" wrapText="1"/>
    </xf>
    <xf numFmtId="0" fontId="8" fillId="5" borderId="9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10" fillId="0" borderId="0" xfId="0" applyFont="1" applyBorder="1"/>
    <xf numFmtId="0" fontId="10" fillId="0" borderId="12" xfId="0" applyFont="1" applyBorder="1"/>
    <xf numFmtId="0" fontId="10" fillId="0" borderId="0" xfId="0" applyFont="1" applyFill="1" applyBorder="1"/>
    <xf numFmtId="0" fontId="8" fillId="0" borderId="13" xfId="0" applyFont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10" fillId="0" borderId="15" xfId="0" applyFont="1" applyBorder="1"/>
    <xf numFmtId="0" fontId="10" fillId="0" borderId="16" xfId="0" applyFont="1" applyBorder="1"/>
    <xf numFmtId="0" fontId="8" fillId="6" borderId="17" xfId="0" applyFont="1" applyFill="1" applyBorder="1" applyAlignment="1">
      <alignment horizontal="center" vertical="top" wrapText="1"/>
    </xf>
    <xf numFmtId="0" fontId="11" fillId="7" borderId="18" xfId="0" applyFont="1" applyFill="1" applyBorder="1" applyAlignment="1"/>
    <xf numFmtId="0" fontId="11" fillId="7" borderId="19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8" fillId="4" borderId="20" xfId="0" applyFont="1" applyFill="1" applyBorder="1" applyAlignment="1">
      <alignment horizontal="center" vertical="top" wrapText="1"/>
    </xf>
    <xf numFmtId="0" fontId="8" fillId="6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vertical="top" wrapText="1"/>
    </xf>
    <xf numFmtId="0" fontId="8" fillId="0" borderId="23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10" fillId="6" borderId="23" xfId="0" applyFont="1" applyFill="1" applyBorder="1" applyAlignment="1">
      <alignment horizontal="center"/>
    </xf>
    <xf numFmtId="2" fontId="10" fillId="6" borderId="25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10" fillId="6" borderId="26" xfId="0" applyFont="1" applyFill="1" applyBorder="1" applyAlignment="1">
      <alignment horizontal="center"/>
    </xf>
    <xf numFmtId="2" fontId="10" fillId="6" borderId="28" xfId="0" applyNumberFormat="1" applyFont="1" applyFill="1" applyBorder="1" applyAlignment="1">
      <alignment horizontal="center"/>
    </xf>
    <xf numFmtId="0" fontId="10" fillId="6" borderId="26" xfId="0" applyFont="1" applyFill="1" applyBorder="1"/>
    <xf numFmtId="0" fontId="8" fillId="0" borderId="29" xfId="0" applyFont="1" applyBorder="1" applyAlignment="1">
      <alignment horizontal="center" vertical="top" wrapText="1"/>
    </xf>
    <xf numFmtId="0" fontId="10" fillId="6" borderId="30" xfId="0" applyFont="1" applyFill="1" applyBorder="1"/>
    <xf numFmtId="2" fontId="10" fillId="6" borderId="29" xfId="0" applyNumberFormat="1" applyFont="1" applyFill="1" applyBorder="1" applyAlignment="1">
      <alignment horizontal="center"/>
    </xf>
    <xf numFmtId="0" fontId="8" fillId="5" borderId="22" xfId="0" applyFont="1" applyFill="1" applyBorder="1" applyAlignment="1">
      <alignment vertical="top" wrapText="1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Fill="1" applyBorder="1" applyAlignment="1">
      <alignment horizontal="center" vertical="top" wrapText="1"/>
    </xf>
    <xf numFmtId="0" fontId="8" fillId="0" borderId="33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center" vertical="top" wrapText="1"/>
    </xf>
    <xf numFmtId="0" fontId="8" fillId="5" borderId="35" xfId="0" applyFont="1" applyFill="1" applyBorder="1" applyAlignment="1">
      <alignment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36" xfId="0" applyFont="1" applyFill="1" applyBorder="1" applyAlignment="1">
      <alignment horizontal="center" vertical="top" wrapText="1"/>
    </xf>
    <xf numFmtId="0" fontId="8" fillId="4" borderId="37" xfId="0" applyFont="1" applyFill="1" applyBorder="1" applyAlignment="1">
      <alignment horizontal="center" vertical="top" wrapText="1"/>
    </xf>
    <xf numFmtId="0" fontId="8" fillId="4" borderId="38" xfId="0" applyFont="1" applyFill="1" applyBorder="1" applyAlignment="1">
      <alignment horizontal="center" vertical="top" wrapText="1"/>
    </xf>
    <xf numFmtId="0" fontId="8" fillId="4" borderId="39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4" borderId="17" xfId="0" applyFont="1" applyFill="1" applyBorder="1" applyAlignment="1">
      <alignment horizontal="center" vertical="top" wrapText="1"/>
    </xf>
    <xf numFmtId="0" fontId="8" fillId="0" borderId="40" xfId="0" applyFont="1" applyBorder="1" applyAlignment="1">
      <alignment vertical="top" wrapText="1"/>
    </xf>
    <xf numFmtId="0" fontId="8" fillId="8" borderId="0" xfId="0" applyFont="1" applyFill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top" wrapText="1"/>
    </xf>
    <xf numFmtId="0" fontId="8" fillId="5" borderId="40" xfId="0" applyFont="1" applyFill="1" applyBorder="1" applyAlignment="1">
      <alignment vertical="top" wrapText="1"/>
    </xf>
    <xf numFmtId="0" fontId="8" fillId="8" borderId="34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5" borderId="21" xfId="0" applyFont="1" applyFill="1" applyBorder="1" applyAlignment="1">
      <alignment vertical="top" wrapText="1"/>
    </xf>
    <xf numFmtId="164" fontId="10" fillId="0" borderId="0" xfId="0" applyNumberFormat="1" applyFont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6" fillId="6" borderId="44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14" fillId="0" borderId="0" xfId="0" applyFont="1" applyFill="1" applyBorder="1" applyAlignment="1">
      <alignment wrapText="1"/>
    </xf>
    <xf numFmtId="0" fontId="13" fillId="0" borderId="0" xfId="0" applyFont="1"/>
    <xf numFmtId="0" fontId="12" fillId="0" borderId="24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8" fillId="0" borderId="48" xfId="0" applyFont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11" fillId="7" borderId="51" xfId="0" applyFont="1" applyFill="1" applyBorder="1" applyAlignment="1"/>
    <xf numFmtId="0" fontId="11" fillId="7" borderId="52" xfId="0" applyFont="1" applyFill="1" applyBorder="1" applyAlignment="1">
      <alignment horizontal="center"/>
    </xf>
    <xf numFmtId="0" fontId="11" fillId="7" borderId="53" xfId="0" applyFont="1" applyFill="1" applyBorder="1" applyAlignment="1"/>
    <xf numFmtId="0" fontId="11" fillId="7" borderId="54" xfId="0" applyFont="1" applyFill="1" applyBorder="1" applyAlignment="1">
      <alignment horizontal="center"/>
    </xf>
    <xf numFmtId="0" fontId="8" fillId="9" borderId="26" xfId="0" applyFont="1" applyFill="1" applyBorder="1" applyAlignment="1">
      <alignment horizontal="center" vertical="top" wrapText="1"/>
    </xf>
    <xf numFmtId="0" fontId="8" fillId="9" borderId="32" xfId="0" applyFont="1" applyFill="1" applyBorder="1" applyAlignment="1">
      <alignment horizontal="center" vertical="top" wrapText="1"/>
    </xf>
    <xf numFmtId="0" fontId="8" fillId="9" borderId="33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Continuous" vertical="top" wrapText="1"/>
    </xf>
    <xf numFmtId="0" fontId="7" fillId="0" borderId="25" xfId="0" applyFont="1" applyBorder="1"/>
    <xf numFmtId="0" fontId="12" fillId="0" borderId="26" xfId="0" applyFont="1" applyFill="1" applyBorder="1" applyAlignment="1">
      <alignment horizontal="centerContinuous" vertical="top" wrapText="1"/>
    </xf>
    <xf numFmtId="0" fontId="12" fillId="0" borderId="28" xfId="0" applyFont="1" applyFill="1" applyBorder="1" applyAlignment="1">
      <alignment horizontal="centerContinuous"/>
    </xf>
    <xf numFmtId="0" fontId="12" fillId="0" borderId="30" xfId="0" applyFont="1" applyFill="1" applyBorder="1" applyAlignment="1">
      <alignment horizontal="centerContinuous" vertical="top" wrapText="1"/>
    </xf>
    <xf numFmtId="0" fontId="12" fillId="0" borderId="36" xfId="0" applyFont="1" applyFill="1" applyBorder="1" applyAlignment="1">
      <alignment horizontal="centerContinuous"/>
    </xf>
    <xf numFmtId="0" fontId="12" fillId="0" borderId="29" xfId="0" applyFont="1" applyFill="1" applyBorder="1" applyAlignment="1">
      <alignment horizontal="centerContinuous"/>
    </xf>
    <xf numFmtId="0" fontId="8" fillId="9" borderId="28" xfId="0" applyFont="1" applyFill="1" applyBorder="1" applyAlignment="1">
      <alignment horizontal="center" vertical="top" wrapText="1"/>
    </xf>
    <xf numFmtId="0" fontId="8" fillId="9" borderId="0" xfId="0" applyFont="1" applyFill="1" applyBorder="1" applyAlignment="1">
      <alignment horizontal="center" vertical="top" wrapText="1"/>
    </xf>
    <xf numFmtId="0" fontId="8" fillId="4" borderId="26" xfId="0" applyFont="1" applyFill="1" applyBorder="1" applyAlignment="1">
      <alignment horizontal="center" vertical="top" wrapText="1"/>
    </xf>
    <xf numFmtId="0" fontId="10" fillId="4" borderId="26" xfId="0" applyFont="1" applyFill="1" applyBorder="1" applyAlignment="1">
      <alignment horizontal="center" vertical="top" wrapText="1"/>
    </xf>
    <xf numFmtId="0" fontId="8" fillId="4" borderId="34" xfId="0" applyFont="1" applyFill="1" applyBorder="1" applyAlignment="1">
      <alignment horizontal="center" vertical="top" wrapText="1"/>
    </xf>
    <xf numFmtId="0" fontId="9" fillId="4" borderId="0" xfId="0" applyFont="1" applyFill="1"/>
    <xf numFmtId="0" fontId="0" fillId="10" borderId="0" xfId="0" applyFill="1"/>
    <xf numFmtId="2" fontId="10" fillId="6" borderId="48" xfId="0" applyNumberFormat="1" applyFont="1" applyFill="1" applyBorder="1" applyAlignment="1">
      <alignment horizontal="center"/>
    </xf>
    <xf numFmtId="2" fontId="10" fillId="6" borderId="49" xfId="0" applyNumberFormat="1" applyFont="1" applyFill="1" applyBorder="1" applyAlignment="1">
      <alignment horizontal="center"/>
    </xf>
    <xf numFmtId="2" fontId="10" fillId="6" borderId="55" xfId="0" applyNumberFormat="1" applyFont="1" applyFill="1" applyBorder="1" applyAlignment="1">
      <alignment horizontal="center"/>
    </xf>
    <xf numFmtId="0" fontId="10" fillId="10" borderId="0" xfId="0" applyFont="1" applyFill="1" applyBorder="1"/>
    <xf numFmtId="0" fontId="8" fillId="0" borderId="56" xfId="0" applyFont="1" applyFill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4" borderId="23" xfId="0" applyFont="1" applyFill="1" applyBorder="1" applyAlignment="1">
      <alignment horizontal="center" vertical="top" wrapText="1"/>
    </xf>
    <xf numFmtId="0" fontId="8" fillId="0" borderId="51" xfId="0" applyFont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8" fillId="0" borderId="49" xfId="0" applyFont="1" applyFill="1" applyBorder="1" applyAlignment="1">
      <alignment horizontal="center" vertical="top" wrapText="1"/>
    </xf>
    <xf numFmtId="0" fontId="8" fillId="0" borderId="23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5" borderId="26" xfId="0" applyFont="1" applyFill="1" applyBorder="1" applyAlignment="1">
      <alignment vertical="top" wrapText="1"/>
    </xf>
    <xf numFmtId="0" fontId="8" fillId="5" borderId="30" xfId="0" applyFont="1" applyFill="1" applyBorder="1" applyAlignment="1">
      <alignment vertical="top" wrapText="1"/>
    </xf>
    <xf numFmtId="0" fontId="8" fillId="4" borderId="25" xfId="0" applyFont="1" applyFill="1" applyBorder="1" applyAlignment="1">
      <alignment horizontal="center" vertical="top" wrapText="1"/>
    </xf>
    <xf numFmtId="0" fontId="7" fillId="0" borderId="28" xfId="0" applyFont="1" applyBorder="1"/>
    <xf numFmtId="0" fontId="8" fillId="0" borderId="52" xfId="0" applyFont="1" applyBorder="1" applyAlignment="1">
      <alignment horizontal="center" vertical="top" wrapText="1"/>
    </xf>
    <xf numFmtId="0" fontId="8" fillId="9" borderId="19" xfId="0" applyFont="1" applyFill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57" xfId="0" applyFont="1" applyFill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8" fillId="6" borderId="25" xfId="0" applyFont="1" applyFill="1" applyBorder="1" applyAlignment="1">
      <alignment horizontal="center" vertical="top" wrapText="1"/>
    </xf>
    <xf numFmtId="0" fontId="8" fillId="6" borderId="28" xfId="0" applyFont="1" applyFill="1" applyBorder="1" applyAlignment="1">
      <alignment horizontal="center" vertical="top" wrapText="1"/>
    </xf>
    <xf numFmtId="0" fontId="8" fillId="6" borderId="29" xfId="0" applyFont="1" applyFill="1" applyBorder="1" applyAlignment="1">
      <alignment horizontal="center" vertical="top" wrapText="1"/>
    </xf>
    <xf numFmtId="0" fontId="8" fillId="9" borderId="58" xfId="0" applyFont="1" applyFill="1" applyBorder="1" applyAlignment="1">
      <alignment horizontal="center" vertical="top" wrapText="1"/>
    </xf>
    <xf numFmtId="0" fontId="8" fillId="9" borderId="52" xfId="0" applyFont="1" applyFill="1" applyBorder="1" applyAlignment="1">
      <alignment horizontal="center" vertical="top" wrapText="1"/>
    </xf>
    <xf numFmtId="0" fontId="8" fillId="8" borderId="19" xfId="0" applyFont="1" applyFill="1" applyBorder="1" applyAlignment="1">
      <alignment horizontal="center" vertical="top" wrapText="1"/>
    </xf>
    <xf numFmtId="0" fontId="8" fillId="8" borderId="57" xfId="0" applyFont="1" applyFill="1" applyBorder="1" applyAlignment="1">
      <alignment horizontal="center" vertical="top" wrapText="1"/>
    </xf>
    <xf numFmtId="0" fontId="8" fillId="8" borderId="54" xfId="0" applyFont="1" applyFill="1" applyBorder="1" applyAlignment="1">
      <alignment horizontal="center" vertical="top" wrapText="1"/>
    </xf>
    <xf numFmtId="0" fontId="8" fillId="10" borderId="34" xfId="0" applyFont="1" applyFill="1" applyBorder="1" applyAlignment="1">
      <alignment horizontal="center" vertical="top" wrapText="1"/>
    </xf>
    <xf numFmtId="0" fontId="8" fillId="0" borderId="59" xfId="0" applyFont="1" applyBorder="1" applyAlignment="1">
      <alignment horizontal="center" vertical="top" wrapText="1"/>
    </xf>
    <xf numFmtId="0" fontId="8" fillId="11" borderId="51" xfId="0" applyFont="1" applyFill="1" applyBorder="1" applyAlignment="1">
      <alignment horizontal="center" vertical="top" wrapText="1"/>
    </xf>
    <xf numFmtId="0" fontId="8" fillId="11" borderId="18" xfId="0" applyFont="1" applyFill="1" applyBorder="1" applyAlignment="1">
      <alignment horizontal="center" vertical="top" wrapText="1"/>
    </xf>
    <xf numFmtId="0" fontId="8" fillId="11" borderId="53" xfId="0" applyFont="1" applyFill="1" applyBorder="1" applyAlignment="1">
      <alignment horizontal="center" vertical="top" wrapText="1"/>
    </xf>
    <xf numFmtId="0" fontId="8" fillId="11" borderId="58" xfId="0" applyFont="1" applyFill="1" applyBorder="1" applyAlignment="1">
      <alignment horizontal="center" vertical="top" wrapText="1"/>
    </xf>
    <xf numFmtId="0" fontId="8" fillId="11" borderId="26" xfId="0" applyFont="1" applyFill="1" applyBorder="1" applyAlignment="1">
      <alignment horizontal="center" vertical="top" wrapText="1"/>
    </xf>
    <xf numFmtId="0" fontId="8" fillId="11" borderId="32" xfId="0" applyFont="1" applyFill="1" applyBorder="1" applyAlignment="1">
      <alignment horizontal="center" vertical="top" wrapText="1"/>
    </xf>
    <xf numFmtId="0" fontId="8" fillId="11" borderId="33" xfId="0" applyFont="1" applyFill="1" applyBorder="1" applyAlignment="1">
      <alignment horizontal="center" vertical="top" wrapText="1"/>
    </xf>
    <xf numFmtId="0" fontId="8" fillId="11" borderId="24" xfId="0" applyFont="1" applyFill="1" applyBorder="1" applyAlignment="1">
      <alignment horizontal="center" vertical="top" wrapText="1"/>
    </xf>
    <xf numFmtId="0" fontId="8" fillId="11" borderId="0" xfId="0" applyFont="1" applyFill="1" applyBorder="1" applyAlignment="1">
      <alignment horizontal="center" vertical="top" wrapText="1"/>
    </xf>
    <xf numFmtId="0" fontId="8" fillId="11" borderId="36" xfId="0" applyFont="1" applyFill="1" applyBorder="1" applyAlignment="1">
      <alignment horizontal="center" vertical="top" wrapText="1"/>
    </xf>
    <xf numFmtId="0" fontId="8" fillId="11" borderId="49" xfId="0" applyFont="1" applyFill="1" applyBorder="1" applyAlignment="1">
      <alignment horizontal="center" vertical="top" wrapText="1"/>
    </xf>
    <xf numFmtId="0" fontId="8" fillId="11" borderId="55" xfId="0" applyFont="1" applyFill="1" applyBorder="1" applyAlignment="1">
      <alignment horizontal="center" vertical="top" wrapText="1"/>
    </xf>
    <xf numFmtId="0" fontId="8" fillId="11" borderId="25" xfId="0" applyFont="1" applyFill="1" applyBorder="1" applyAlignment="1">
      <alignment horizontal="center" vertical="top" wrapText="1"/>
    </xf>
    <xf numFmtId="0" fontId="8" fillId="11" borderId="60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6" borderId="44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Continuous"/>
    </xf>
    <xf numFmtId="0" fontId="17" fillId="0" borderId="0" xfId="0" applyFont="1" applyFill="1" applyBorder="1" applyAlignment="1">
      <alignment horizontal="centerContinuous"/>
    </xf>
    <xf numFmtId="0" fontId="16" fillId="0" borderId="0" xfId="0" applyFont="1"/>
    <xf numFmtId="0" fontId="15" fillId="4" borderId="5" xfId="0" applyFont="1" applyFill="1" applyBorder="1" applyAlignment="1">
      <alignment vertical="top" wrapText="1"/>
    </xf>
    <xf numFmtId="0" fontId="15" fillId="4" borderId="6" xfId="0" applyFont="1" applyFill="1" applyBorder="1" applyAlignment="1">
      <alignment horizontal="center" vertical="top" wrapText="1"/>
    </xf>
    <xf numFmtId="0" fontId="16" fillId="0" borderId="6" xfId="0" applyFont="1" applyBorder="1"/>
    <xf numFmtId="0" fontId="15" fillId="4" borderId="7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vertical="top" wrapText="1"/>
    </xf>
    <xf numFmtId="0" fontId="15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5" borderId="8" xfId="0" applyFont="1" applyFill="1" applyBorder="1" applyAlignment="1">
      <alignment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0" xfId="0" applyFont="1" applyFill="1" applyBorder="1" applyAlignment="1">
      <alignment horizontal="center" vertical="top" wrapText="1"/>
    </xf>
    <xf numFmtId="0" fontId="18" fillId="0" borderId="0" xfId="0" applyFont="1"/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5" fillId="0" borderId="10" xfId="0" applyFont="1" applyBorder="1" applyAlignment="1">
      <alignment vertical="top" wrapText="1"/>
    </xf>
    <xf numFmtId="0" fontId="16" fillId="0" borderId="0" xfId="0" applyFont="1" applyBorder="1"/>
    <xf numFmtId="0" fontId="16" fillId="0" borderId="0" xfId="0" applyFont="1" applyFill="1" applyBorder="1"/>
    <xf numFmtId="0" fontId="16" fillId="0" borderId="12" xfId="0" applyFont="1" applyBorder="1"/>
    <xf numFmtId="0" fontId="15" fillId="0" borderId="11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0" fontId="15" fillId="4" borderId="14" xfId="0" applyFont="1" applyFill="1" applyBorder="1" applyAlignment="1">
      <alignment vertical="top" wrapText="1"/>
    </xf>
    <xf numFmtId="0" fontId="16" fillId="0" borderId="15" xfId="0" applyFont="1" applyBorder="1"/>
    <xf numFmtId="0" fontId="16" fillId="0" borderId="16" xfId="0" applyFont="1" applyBorder="1"/>
    <xf numFmtId="0" fontId="15" fillId="6" borderId="17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0" fontId="15" fillId="4" borderId="9" xfId="0" applyFont="1" applyFill="1" applyBorder="1" applyAlignment="1">
      <alignment horizontal="center" vertical="top" wrapText="1"/>
    </xf>
    <xf numFmtId="0" fontId="15" fillId="4" borderId="20" xfId="0" applyFont="1" applyFill="1" applyBorder="1" applyAlignment="1">
      <alignment horizontal="center" vertical="top" wrapText="1"/>
    </xf>
    <xf numFmtId="0" fontId="15" fillId="6" borderId="21" xfId="0" applyFont="1" applyFill="1" applyBorder="1" applyAlignment="1">
      <alignment horizontal="center" vertical="top" wrapText="1"/>
    </xf>
    <xf numFmtId="0" fontId="15" fillId="0" borderId="22" xfId="0" applyFont="1" applyBorder="1" applyAlignment="1">
      <alignment vertical="top" wrapText="1"/>
    </xf>
    <xf numFmtId="0" fontId="15" fillId="0" borderId="24" xfId="0" applyFont="1" applyFill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5" fillId="0" borderId="48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49" xfId="0" applyFont="1" applyBorder="1" applyAlignment="1">
      <alignment horizontal="center" vertical="top" wrapText="1"/>
    </xf>
    <xf numFmtId="0" fontId="15" fillId="0" borderId="29" xfId="0" applyFont="1" applyBorder="1" applyAlignment="1">
      <alignment horizontal="center" vertical="top" wrapText="1"/>
    </xf>
    <xf numFmtId="0" fontId="15" fillId="0" borderId="55" xfId="0" applyFont="1" applyBorder="1" applyAlignment="1">
      <alignment horizontal="center" vertical="top" wrapText="1"/>
    </xf>
    <xf numFmtId="0" fontId="15" fillId="0" borderId="26" xfId="0" applyFont="1" applyFill="1" applyBorder="1" applyAlignment="1">
      <alignment horizontal="center" vertical="top" wrapText="1"/>
    </xf>
    <xf numFmtId="0" fontId="15" fillId="0" borderId="31" xfId="0" applyFont="1" applyBorder="1" applyAlignment="1">
      <alignment horizontal="center" vertical="top" wrapText="1"/>
    </xf>
    <xf numFmtId="0" fontId="15" fillId="0" borderId="32" xfId="0" applyFont="1" applyFill="1" applyBorder="1" applyAlignment="1">
      <alignment horizontal="center" vertical="top" wrapText="1"/>
    </xf>
    <xf numFmtId="0" fontId="15" fillId="0" borderId="33" xfId="0" applyFont="1" applyFill="1" applyBorder="1" applyAlignment="1">
      <alignment horizontal="center" vertical="top" wrapText="1"/>
    </xf>
    <xf numFmtId="0" fontId="15" fillId="0" borderId="56" xfId="0" applyFont="1" applyFill="1" applyBorder="1" applyAlignment="1">
      <alignment horizontal="center" vertical="top" wrapText="1"/>
    </xf>
    <xf numFmtId="0" fontId="15" fillId="0" borderId="28" xfId="0" applyFont="1" applyFill="1" applyBorder="1" applyAlignment="1">
      <alignment horizontal="center" vertical="top" wrapText="1"/>
    </xf>
    <xf numFmtId="0" fontId="19" fillId="7" borderId="51" xfId="0" applyFont="1" applyFill="1" applyBorder="1" applyAlignment="1"/>
    <xf numFmtId="0" fontId="19" fillId="7" borderId="52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 vertical="top" wrapText="1"/>
    </xf>
    <xf numFmtId="0" fontId="15" fillId="0" borderId="36" xfId="0" applyFont="1" applyFill="1" applyBorder="1" applyAlignment="1">
      <alignment horizontal="center" vertical="top" wrapText="1"/>
    </xf>
    <xf numFmtId="0" fontId="19" fillId="7" borderId="53" xfId="0" applyFont="1" applyFill="1" applyBorder="1" applyAlignment="1"/>
    <xf numFmtId="0" fontId="19" fillId="7" borderId="54" xfId="0" applyFont="1" applyFill="1" applyBorder="1" applyAlignment="1">
      <alignment horizontal="center"/>
    </xf>
    <xf numFmtId="0" fontId="18" fillId="0" borderId="0" xfId="0" applyFont="1" applyFill="1" applyBorder="1" applyAlignment="1">
      <alignment vertical="top" wrapText="1"/>
    </xf>
    <xf numFmtId="0" fontId="15" fillId="4" borderId="61" xfId="0" applyFont="1" applyFill="1" applyBorder="1" applyAlignment="1">
      <alignment horizontal="center" vertical="top" wrapText="1"/>
    </xf>
    <xf numFmtId="0" fontId="15" fillId="4" borderId="62" xfId="0" applyFont="1" applyFill="1" applyBorder="1" applyAlignment="1">
      <alignment horizontal="center" vertical="top" wrapText="1"/>
    </xf>
    <xf numFmtId="0" fontId="15" fillId="4" borderId="38" xfId="0" applyFont="1" applyFill="1" applyBorder="1" applyAlignment="1">
      <alignment horizontal="center" vertical="top" wrapText="1"/>
    </xf>
    <xf numFmtId="0" fontId="15" fillId="4" borderId="39" xfId="0" applyFont="1" applyFill="1" applyBorder="1" applyAlignment="1">
      <alignment horizontal="center" vertical="top" wrapText="1"/>
    </xf>
    <xf numFmtId="0" fontId="15" fillId="0" borderId="23" xfId="0" applyFont="1" applyBorder="1" applyAlignment="1">
      <alignment vertical="top" wrapText="1"/>
    </xf>
    <xf numFmtId="0" fontId="15" fillId="11" borderId="51" xfId="0" applyFont="1" applyFill="1" applyBorder="1" applyAlignment="1">
      <alignment horizontal="center" vertical="top" wrapText="1"/>
    </xf>
    <xf numFmtId="0" fontId="15" fillId="8" borderId="0" xfId="0" applyFont="1" applyFill="1" applyBorder="1" applyAlignment="1">
      <alignment horizontal="center" vertical="top" wrapText="1"/>
    </xf>
    <xf numFmtId="0" fontId="15" fillId="10" borderId="58" xfId="0" applyFont="1" applyFill="1" applyBorder="1" applyAlignment="1">
      <alignment horizontal="center" vertical="top" wrapText="1"/>
    </xf>
    <xf numFmtId="0" fontId="15" fillId="10" borderId="19" xfId="0" applyFont="1" applyFill="1" applyBorder="1" applyAlignment="1">
      <alignment horizontal="center" vertical="top" wrapText="1"/>
    </xf>
    <xf numFmtId="0" fontId="15" fillId="6" borderId="25" xfId="0" applyFont="1" applyFill="1" applyBorder="1" applyAlignment="1">
      <alignment horizontal="center" vertical="top" wrapText="1"/>
    </xf>
    <xf numFmtId="0" fontId="15" fillId="0" borderId="26" xfId="0" applyFont="1" applyBorder="1" applyAlignment="1">
      <alignment vertical="top" wrapText="1"/>
    </xf>
    <xf numFmtId="0" fontId="15" fillId="11" borderId="18" xfId="0" applyFont="1" applyFill="1" applyBorder="1" applyAlignment="1">
      <alignment horizontal="center" vertical="top" wrapText="1"/>
    </xf>
    <xf numFmtId="0" fontId="15" fillId="6" borderId="28" xfId="0" applyFont="1" applyFill="1" applyBorder="1" applyAlignment="1">
      <alignment horizontal="center" vertical="top" wrapText="1"/>
    </xf>
    <xf numFmtId="0" fontId="15" fillId="10" borderId="26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5" fillId="10" borderId="0" xfId="0" applyFont="1" applyFill="1" applyBorder="1" applyAlignment="1">
      <alignment horizontal="center" vertical="top" wrapText="1"/>
    </xf>
    <xf numFmtId="0" fontId="15" fillId="8" borderId="19" xfId="0" applyFont="1" applyFill="1" applyBorder="1" applyAlignment="1">
      <alignment horizontal="center" vertical="top" wrapText="1"/>
    </xf>
    <xf numFmtId="0" fontId="15" fillId="6" borderId="29" xfId="0" applyFont="1" applyFill="1" applyBorder="1" applyAlignment="1">
      <alignment horizontal="center" vertical="top" wrapText="1"/>
    </xf>
    <xf numFmtId="0" fontId="15" fillId="10" borderId="32" xfId="0" applyFont="1" applyFill="1" applyBorder="1" applyAlignment="1">
      <alignment horizontal="center" vertical="top" wrapText="1"/>
    </xf>
    <xf numFmtId="0" fontId="15" fillId="10" borderId="34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9" fillId="7" borderId="18" xfId="0" applyFont="1" applyFill="1" applyBorder="1" applyAlignment="1"/>
    <xf numFmtId="0" fontId="19" fillId="7" borderId="19" xfId="0" applyFont="1" applyFill="1" applyBorder="1" applyAlignment="1">
      <alignment horizontal="center"/>
    </xf>
    <xf numFmtId="0" fontId="15" fillId="11" borderId="53" xfId="0" applyFont="1" applyFill="1" applyBorder="1" applyAlignment="1">
      <alignment horizontal="center" vertical="top" wrapText="1"/>
    </xf>
    <xf numFmtId="0" fontId="15" fillId="10" borderId="57" xfId="0" applyFont="1" applyFill="1" applyBorder="1" applyAlignment="1">
      <alignment horizontal="center" vertical="top" wrapText="1"/>
    </xf>
    <xf numFmtId="0" fontId="15" fillId="10" borderId="54" xfId="0" applyFont="1" applyFill="1" applyBorder="1" applyAlignment="1">
      <alignment horizontal="center" vertical="top" wrapText="1"/>
    </xf>
    <xf numFmtId="164" fontId="16" fillId="0" borderId="0" xfId="0" applyNumberFormat="1" applyFont="1" applyAlignment="1">
      <alignment horizontal="center"/>
    </xf>
    <xf numFmtId="0" fontId="16" fillId="0" borderId="23" xfId="0" applyFont="1" applyFill="1" applyBorder="1" applyAlignment="1">
      <alignment horizontal="centerContinuous" vertical="top" wrapText="1"/>
    </xf>
    <xf numFmtId="0" fontId="16" fillId="0" borderId="0" xfId="0" applyFont="1" applyFill="1" applyBorder="1" applyAlignment="1">
      <alignment horizontal="centerContinuous"/>
    </xf>
    <xf numFmtId="0" fontId="20" fillId="0" borderId="28" xfId="0" applyFont="1" applyBorder="1"/>
    <xf numFmtId="0" fontId="16" fillId="0" borderId="30" xfId="0" applyFont="1" applyFill="1" applyBorder="1" applyAlignment="1">
      <alignment horizontal="centerContinuous" vertical="top" wrapText="1"/>
    </xf>
    <xf numFmtId="0" fontId="16" fillId="0" borderId="36" xfId="0" applyFont="1" applyFill="1" applyBorder="1" applyAlignment="1">
      <alignment horizontal="centerContinuous"/>
    </xf>
    <xf numFmtId="0" fontId="16" fillId="0" borderId="29" xfId="0" applyFont="1" applyFill="1" applyBorder="1" applyAlignment="1">
      <alignment horizontal="centerContinuous"/>
    </xf>
    <xf numFmtId="0" fontId="15" fillId="10" borderId="26" xfId="0" applyFont="1" applyFill="1" applyBorder="1" applyAlignment="1">
      <alignment vertical="top" wrapText="1"/>
    </xf>
    <xf numFmtId="0" fontId="15" fillId="10" borderId="30" xfId="0" applyFont="1" applyFill="1" applyBorder="1" applyAlignment="1">
      <alignment vertical="top" wrapText="1"/>
    </xf>
    <xf numFmtId="0" fontId="15" fillId="10" borderId="22" xfId="0" applyFont="1" applyFill="1" applyBorder="1" applyAlignment="1">
      <alignment vertical="top" wrapText="1"/>
    </xf>
    <xf numFmtId="0" fontId="15" fillId="10" borderId="35" xfId="0" applyFont="1" applyFill="1" applyBorder="1" applyAlignment="1">
      <alignment vertical="top" wrapText="1"/>
    </xf>
    <xf numFmtId="0" fontId="15" fillId="10" borderId="49" xfId="0" applyFont="1" applyFill="1" applyBorder="1" applyAlignment="1">
      <alignment horizontal="center" vertical="top" wrapText="1"/>
    </xf>
    <xf numFmtId="0" fontId="15" fillId="0" borderId="49" xfId="0" applyFont="1" applyFill="1" applyBorder="1" applyAlignment="1">
      <alignment horizontal="center" vertical="top" wrapText="1"/>
    </xf>
    <xf numFmtId="0" fontId="15" fillId="8" borderId="49" xfId="0" applyFont="1" applyFill="1" applyBorder="1" applyAlignment="1">
      <alignment horizontal="center" vertical="top" wrapText="1"/>
    </xf>
    <xf numFmtId="0" fontId="15" fillId="8" borderId="55" xfId="0" applyFont="1" applyFill="1" applyBorder="1" applyAlignment="1">
      <alignment horizontal="center" vertical="top" wrapText="1"/>
    </xf>
    <xf numFmtId="0" fontId="15" fillId="4" borderId="48" xfId="0" applyFont="1" applyFill="1" applyBorder="1" applyAlignment="1">
      <alignment horizontal="center" vertical="top" wrapText="1"/>
    </xf>
    <xf numFmtId="0" fontId="15" fillId="8" borderId="58" xfId="0" applyFont="1" applyFill="1" applyBorder="1" applyAlignment="1">
      <alignment horizontal="center" vertical="top" wrapText="1"/>
    </xf>
    <xf numFmtId="0" fontId="15" fillId="11" borderId="52" xfId="0" applyFont="1" applyFill="1" applyBorder="1" applyAlignment="1">
      <alignment horizontal="center" vertical="top" wrapText="1"/>
    </xf>
    <xf numFmtId="0" fontId="15" fillId="10" borderId="23" xfId="0" applyFont="1" applyFill="1" applyBorder="1" applyAlignment="1">
      <alignment horizontal="center" vertical="top" wrapText="1"/>
    </xf>
    <xf numFmtId="165" fontId="15" fillId="8" borderId="58" xfId="0" applyNumberFormat="1" applyFont="1" applyFill="1" applyBorder="1" applyAlignment="1">
      <alignment horizontal="center" vertical="top" wrapText="1"/>
    </xf>
    <xf numFmtId="165" fontId="15" fillId="11" borderId="52" xfId="0" applyNumberFormat="1" applyFont="1" applyFill="1" applyBorder="1" applyAlignment="1">
      <alignment horizontal="center" vertical="top" wrapText="1"/>
    </xf>
    <xf numFmtId="165" fontId="15" fillId="8" borderId="19" xfId="0" applyNumberFormat="1" applyFont="1" applyFill="1" applyBorder="1" applyAlignment="1">
      <alignment horizontal="center" vertical="top" wrapText="1"/>
    </xf>
    <xf numFmtId="165" fontId="15" fillId="8" borderId="0" xfId="0" applyNumberFormat="1" applyFont="1" applyFill="1" applyBorder="1" applyAlignment="1">
      <alignment horizontal="center" vertical="top" wrapText="1"/>
    </xf>
    <xf numFmtId="0" fontId="15" fillId="11" borderId="57" xfId="0" applyFont="1" applyFill="1" applyBorder="1" applyAlignment="1">
      <alignment horizontal="center" vertical="top" wrapText="1"/>
    </xf>
    <xf numFmtId="0" fontId="15" fillId="11" borderId="54" xfId="0" applyFont="1" applyFill="1" applyBorder="1" applyAlignment="1">
      <alignment horizontal="center" vertical="top" wrapText="1"/>
    </xf>
    <xf numFmtId="0" fontId="12" fillId="10" borderId="0" xfId="0" applyFont="1" applyFill="1" applyBorder="1" applyAlignment="1">
      <alignment horizontal="centerContinuous"/>
    </xf>
    <xf numFmtId="0" fontId="15" fillId="6" borderId="40" xfId="0" applyFont="1" applyFill="1" applyBorder="1" applyAlignment="1">
      <alignment horizontal="center" vertical="top" wrapText="1"/>
    </xf>
    <xf numFmtId="0" fontId="15" fillId="6" borderId="0" xfId="0" applyFont="1" applyFill="1" applyBorder="1" applyAlignment="1">
      <alignment horizontal="center" vertical="top" wrapText="1"/>
    </xf>
    <xf numFmtId="165" fontId="15" fillId="12" borderId="0" xfId="0" applyNumberFormat="1" applyFont="1" applyFill="1" applyBorder="1" applyAlignment="1">
      <alignment horizontal="center" vertical="top" wrapText="1"/>
    </xf>
    <xf numFmtId="0" fontId="15" fillId="10" borderId="30" xfId="0" applyFont="1" applyFill="1" applyBorder="1" applyAlignment="1">
      <alignment horizontal="center" vertical="top" wrapText="1"/>
    </xf>
    <xf numFmtId="0" fontId="15" fillId="0" borderId="51" xfId="0" applyFont="1" applyBorder="1" applyAlignment="1">
      <alignment horizontal="center" vertical="top" wrapText="1"/>
    </xf>
    <xf numFmtId="0" fontId="15" fillId="0" borderId="52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53" xfId="0" applyFont="1" applyBorder="1" applyAlignment="1">
      <alignment horizontal="center" vertical="top" wrapText="1"/>
    </xf>
    <xf numFmtId="0" fontId="18" fillId="0" borderId="0" xfId="0" applyFont="1" applyBorder="1"/>
    <xf numFmtId="0" fontId="15" fillId="6" borderId="58" xfId="0" applyFont="1" applyFill="1" applyBorder="1" applyAlignment="1">
      <alignment horizontal="center" vertical="top" wrapText="1"/>
    </xf>
    <xf numFmtId="0" fontId="15" fillId="6" borderId="57" xfId="0" applyFont="1" applyFill="1" applyBorder="1" applyAlignment="1">
      <alignment horizontal="center" vertical="top" wrapText="1"/>
    </xf>
    <xf numFmtId="0" fontId="16" fillId="0" borderId="63" xfId="0" applyFont="1" applyFill="1" applyBorder="1" applyAlignment="1">
      <alignment horizontal="centerContinuous" vertical="top" wrapText="1"/>
    </xf>
    <xf numFmtId="0" fontId="15" fillId="12" borderId="6" xfId="0" applyFont="1" applyFill="1" applyBorder="1" applyAlignment="1">
      <alignment horizontal="center" vertical="top" wrapText="1"/>
    </xf>
    <xf numFmtId="0" fontId="15" fillId="5" borderId="0" xfId="0" applyFont="1" applyFill="1" applyBorder="1" applyAlignment="1">
      <alignment vertical="top" wrapText="1"/>
    </xf>
    <xf numFmtId="0" fontId="16" fillId="0" borderId="64" xfId="0" applyFont="1" applyFill="1" applyBorder="1" applyAlignment="1">
      <alignment horizontal="centerContinuous" vertical="top" wrapText="1"/>
    </xf>
    <xf numFmtId="165" fontId="15" fillId="11" borderId="58" xfId="0" applyNumberFormat="1" applyFont="1" applyFill="1" applyBorder="1" applyAlignment="1">
      <alignment horizontal="center" vertical="top" wrapText="1"/>
    </xf>
    <xf numFmtId="165" fontId="15" fillId="13" borderId="0" xfId="0" applyNumberFormat="1" applyFont="1" applyFill="1" applyBorder="1" applyAlignment="1">
      <alignment horizontal="center" vertical="top" wrapText="1"/>
    </xf>
    <xf numFmtId="165" fontId="0" fillId="0" borderId="0" xfId="0" applyNumberFormat="1"/>
    <xf numFmtId="165" fontId="15" fillId="0" borderId="0" xfId="0" applyNumberFormat="1" applyFont="1" applyBorder="1" applyAlignment="1">
      <alignment horizontal="center" vertical="top" wrapText="1"/>
    </xf>
    <xf numFmtId="0" fontId="16" fillId="0" borderId="76" xfId="0" applyFont="1" applyFill="1" applyBorder="1" applyAlignment="1">
      <alignment horizontal="centerContinuous"/>
    </xf>
    <xf numFmtId="0" fontId="20" fillId="0" borderId="77" xfId="0" applyFont="1" applyBorder="1"/>
    <xf numFmtId="165" fontId="15" fillId="12" borderId="19" xfId="0" applyNumberFormat="1" applyFont="1" applyFill="1" applyBorder="1" applyAlignment="1">
      <alignment horizontal="center" vertical="top" wrapText="1"/>
    </xf>
    <xf numFmtId="165" fontId="15" fillId="11" borderId="5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6" fillId="4" borderId="0" xfId="1" applyFont="1" applyFill="1" applyBorder="1" applyAlignment="1">
      <alignment horizontal="right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15" fillId="4" borderId="64" xfId="0" applyFont="1" applyFill="1" applyBorder="1" applyAlignment="1">
      <alignment horizontal="center" vertical="top" wrapText="1"/>
    </xf>
    <xf numFmtId="0" fontId="18" fillId="0" borderId="59" xfId="0" applyFont="1" applyBorder="1"/>
    <xf numFmtId="0" fontId="15" fillId="0" borderId="64" xfId="0" applyFont="1" applyBorder="1" applyAlignment="1">
      <alignment horizontal="center" vertical="top" wrapText="1"/>
    </xf>
    <xf numFmtId="0" fontId="15" fillId="0" borderId="48" xfId="0" applyFont="1" applyBorder="1" applyAlignment="1">
      <alignment vertical="top" wrapText="1"/>
    </xf>
    <xf numFmtId="0" fontId="15" fillId="0" borderId="49" xfId="0" applyFont="1" applyBorder="1" applyAlignment="1">
      <alignment vertical="top" wrapText="1"/>
    </xf>
    <xf numFmtId="0" fontId="15" fillId="4" borderId="55" xfId="0" applyFont="1" applyFill="1" applyBorder="1" applyAlignment="1">
      <alignment vertical="top" wrapText="1"/>
    </xf>
    <xf numFmtId="0" fontId="15" fillId="10" borderId="0" xfId="0" applyFont="1" applyFill="1" applyBorder="1" applyAlignment="1">
      <alignment vertical="top" wrapText="1"/>
    </xf>
    <xf numFmtId="0" fontId="20" fillId="0" borderId="0" xfId="0" applyFont="1" applyBorder="1"/>
    <xf numFmtId="165" fontId="15" fillId="11" borderId="18" xfId="0" applyNumberFormat="1" applyFont="1" applyFill="1" applyBorder="1" applyAlignment="1">
      <alignment horizontal="center" vertical="top" wrapText="1"/>
    </xf>
    <xf numFmtId="0" fontId="15" fillId="10" borderId="56" xfId="0" applyFont="1" applyFill="1" applyBorder="1" applyAlignment="1">
      <alignment horizontal="center" vertical="top" wrapText="1"/>
    </xf>
    <xf numFmtId="165" fontId="15" fillId="0" borderId="48" xfId="0" applyNumberFormat="1" applyFont="1" applyBorder="1" applyAlignment="1">
      <alignment horizontal="center" vertical="top" wrapText="1"/>
    </xf>
    <xf numFmtId="165" fontId="15" fillId="0" borderId="49" xfId="0" applyNumberFormat="1" applyFont="1" applyBorder="1" applyAlignment="1">
      <alignment horizontal="center" vertical="top" wrapText="1"/>
    </xf>
    <xf numFmtId="165" fontId="15" fillId="0" borderId="55" xfId="0" applyNumberFormat="1" applyFont="1" applyBorder="1" applyAlignment="1">
      <alignment horizontal="center" vertical="top" wrapText="1"/>
    </xf>
    <xf numFmtId="0" fontId="15" fillId="6" borderId="36" xfId="0" applyFont="1" applyFill="1" applyBorder="1" applyAlignment="1">
      <alignment horizontal="center" vertical="top" wrapText="1"/>
    </xf>
    <xf numFmtId="0" fontId="15" fillId="10" borderId="79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15" fillId="4" borderId="37" xfId="0" applyFont="1" applyFill="1" applyBorder="1" applyAlignment="1">
      <alignment vertical="top" wrapText="1"/>
    </xf>
    <xf numFmtId="0" fontId="16" fillId="0" borderId="38" xfId="0" applyFont="1" applyBorder="1" applyAlignment="1">
      <alignment horizontal="center"/>
    </xf>
    <xf numFmtId="0" fontId="15" fillId="0" borderId="80" xfId="0" applyFont="1" applyBorder="1" applyAlignment="1">
      <alignment horizontal="center" vertical="top" wrapText="1"/>
    </xf>
    <xf numFmtId="0" fontId="15" fillId="5" borderId="81" xfId="0" applyFont="1" applyFill="1" applyBorder="1" applyAlignment="1">
      <alignment vertical="top" wrapText="1"/>
    </xf>
    <xf numFmtId="0" fontId="15" fillId="5" borderId="82" xfId="0" applyFont="1" applyFill="1" applyBorder="1" applyAlignment="1">
      <alignment horizontal="center" vertical="top" wrapText="1"/>
    </xf>
    <xf numFmtId="0" fontId="15" fillId="5" borderId="83" xfId="0" applyFont="1" applyFill="1" applyBorder="1" applyAlignment="1">
      <alignment horizontal="center" vertical="top" wrapText="1"/>
    </xf>
    <xf numFmtId="0" fontId="20" fillId="0" borderId="0" xfId="0" applyFont="1"/>
    <xf numFmtId="0" fontId="20" fillId="10" borderId="0" xfId="0" applyFont="1" applyFill="1"/>
    <xf numFmtId="2" fontId="16" fillId="6" borderId="48" xfId="0" applyNumberFormat="1" applyFont="1" applyFill="1" applyBorder="1" applyAlignment="1">
      <alignment horizontal="center"/>
    </xf>
    <xf numFmtId="2" fontId="16" fillId="6" borderId="49" xfId="0" applyNumberFormat="1" applyFont="1" applyFill="1" applyBorder="1" applyAlignment="1">
      <alignment horizontal="center"/>
    </xf>
    <xf numFmtId="0" fontId="16" fillId="10" borderId="0" xfId="0" applyFont="1" applyFill="1" applyBorder="1"/>
    <xf numFmtId="2" fontId="16" fillId="6" borderId="55" xfId="0" applyNumberFormat="1" applyFont="1" applyFill="1" applyBorder="1" applyAlignment="1">
      <alignment horizontal="center"/>
    </xf>
    <xf numFmtId="0" fontId="16" fillId="6" borderId="48" xfId="0" applyFont="1" applyFill="1" applyBorder="1" applyAlignment="1">
      <alignment horizontal="center"/>
    </xf>
    <xf numFmtId="0" fontId="16" fillId="6" borderId="55" xfId="0" applyFont="1" applyFill="1" applyBorder="1" applyAlignment="1">
      <alignment horizontal="center"/>
    </xf>
    <xf numFmtId="0" fontId="15" fillId="10" borderId="59" xfId="0" applyFont="1" applyFill="1" applyBorder="1" applyAlignment="1">
      <alignment horizontal="center" vertical="top" wrapText="1"/>
    </xf>
    <xf numFmtId="0" fontId="15" fillId="4" borderId="80" xfId="0" applyFont="1" applyFill="1" applyBorder="1" applyAlignment="1">
      <alignment horizontal="center" vertical="top" wrapText="1"/>
    </xf>
    <xf numFmtId="0" fontId="15" fillId="11" borderId="58" xfId="0" applyFont="1" applyFill="1" applyBorder="1" applyAlignment="1">
      <alignment horizontal="center" vertical="top" wrapText="1"/>
    </xf>
    <xf numFmtId="0" fontId="15" fillId="4" borderId="1" xfId="1" applyFont="1" applyFill="1" applyBorder="1" applyAlignment="1">
      <alignment horizontal="center" vertical="top" wrapText="1"/>
    </xf>
    <xf numFmtId="0" fontId="15" fillId="4" borderId="4" xfId="1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/>
    </xf>
    <xf numFmtId="165" fontId="20" fillId="0" borderId="51" xfId="0" applyNumberFormat="1" applyFont="1" applyBorder="1" applyAlignment="1">
      <alignment horizontal="center"/>
    </xf>
    <xf numFmtId="165" fontId="20" fillId="0" borderId="58" xfId="0" applyNumberFormat="1" applyFont="1" applyBorder="1" applyAlignment="1">
      <alignment horizontal="center"/>
    </xf>
    <xf numFmtId="165" fontId="20" fillId="0" borderId="52" xfId="0" applyNumberFormat="1" applyFont="1" applyBorder="1" applyAlignment="1">
      <alignment horizontal="center"/>
    </xf>
    <xf numFmtId="165" fontId="20" fillId="0" borderId="18" xfId="0" applyNumberFormat="1" applyFont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165" fontId="20" fillId="0" borderId="19" xfId="0" applyNumberFormat="1" applyFont="1" applyBorder="1" applyAlignment="1">
      <alignment horizontal="center"/>
    </xf>
    <xf numFmtId="165" fontId="20" fillId="0" borderId="53" xfId="0" applyNumberFormat="1" applyFont="1" applyBorder="1" applyAlignment="1">
      <alignment horizontal="center"/>
    </xf>
    <xf numFmtId="165" fontId="20" fillId="0" borderId="57" xfId="0" applyNumberFormat="1" applyFont="1" applyBorder="1" applyAlignment="1">
      <alignment horizontal="center"/>
    </xf>
    <xf numFmtId="165" fontId="20" fillId="0" borderId="54" xfId="0" applyNumberFormat="1" applyFont="1" applyBorder="1" applyAlignment="1">
      <alignment horizontal="center"/>
    </xf>
    <xf numFmtId="0" fontId="16" fillId="0" borderId="55" xfId="0" applyNumberFormat="1" applyFont="1" applyBorder="1"/>
    <xf numFmtId="0" fontId="15" fillId="0" borderId="45" xfId="0" applyFont="1" applyBorder="1" applyAlignment="1">
      <alignment vertical="top" wrapText="1"/>
    </xf>
    <xf numFmtId="0" fontId="15" fillId="0" borderId="46" xfId="0" applyFont="1" applyBorder="1" applyAlignment="1">
      <alignment vertical="top" wrapText="1"/>
    </xf>
    <xf numFmtId="0" fontId="15" fillId="4" borderId="47" xfId="0" applyFont="1" applyFill="1" applyBorder="1" applyAlignment="1">
      <alignment vertical="top" wrapText="1"/>
    </xf>
    <xf numFmtId="0" fontId="15" fillId="4" borderId="55" xfId="0" applyFont="1" applyFill="1" applyBorder="1" applyAlignment="1">
      <alignment horizontal="center" vertical="top" wrapText="1"/>
    </xf>
    <xf numFmtId="0" fontId="15" fillId="0" borderId="17" xfId="0" applyFont="1" applyBorder="1" applyAlignment="1">
      <alignment vertical="top" wrapText="1"/>
    </xf>
    <xf numFmtId="0" fontId="15" fillId="0" borderId="23" xfId="0" applyFont="1" applyFill="1" applyBorder="1" applyAlignment="1">
      <alignment horizontal="center" vertical="top" wrapText="1"/>
    </xf>
    <xf numFmtId="2" fontId="15" fillId="0" borderId="49" xfId="0" applyNumberFormat="1" applyFont="1" applyBorder="1" applyAlignment="1">
      <alignment horizontal="center" vertical="top" wrapText="1"/>
    </xf>
    <xf numFmtId="0" fontId="15" fillId="0" borderId="40" xfId="0" applyFont="1" applyBorder="1" applyAlignment="1">
      <alignment vertical="top" wrapText="1"/>
    </xf>
    <xf numFmtId="2" fontId="15" fillId="0" borderId="55" xfId="0" applyNumberFormat="1" applyFont="1" applyBorder="1" applyAlignment="1">
      <alignment horizontal="center" vertical="top" wrapText="1"/>
    </xf>
    <xf numFmtId="0" fontId="15" fillId="5" borderId="40" xfId="0" applyFont="1" applyFill="1" applyBorder="1" applyAlignment="1">
      <alignment vertical="top" wrapText="1"/>
    </xf>
    <xf numFmtId="0" fontId="15" fillId="0" borderId="50" xfId="0" applyFont="1" applyFill="1" applyBorder="1" applyAlignment="1">
      <alignment horizontal="center" vertical="top" wrapText="1"/>
    </xf>
    <xf numFmtId="2" fontId="20" fillId="0" borderId="0" xfId="0" applyNumberFormat="1" applyFont="1"/>
    <xf numFmtId="0" fontId="15" fillId="5" borderId="21" xfId="0" applyFont="1" applyFill="1" applyBorder="1" applyAlignment="1">
      <alignment vertical="top" wrapText="1"/>
    </xf>
    <xf numFmtId="1" fontId="15" fillId="8" borderId="19" xfId="0" applyNumberFormat="1" applyFont="1" applyFill="1" applyBorder="1" applyAlignment="1">
      <alignment horizontal="center" vertical="top" wrapText="1"/>
    </xf>
    <xf numFmtId="1" fontId="15" fillId="8" borderId="54" xfId="0" applyNumberFormat="1" applyFont="1" applyFill="1" applyBorder="1" applyAlignment="1">
      <alignment horizontal="center" vertical="top" wrapText="1"/>
    </xf>
    <xf numFmtId="1" fontId="15" fillId="8" borderId="18" xfId="0" applyNumberFormat="1" applyFont="1" applyFill="1" applyBorder="1" applyAlignment="1">
      <alignment horizontal="center" vertical="top" wrapText="1"/>
    </xf>
    <xf numFmtId="0" fontId="24" fillId="0" borderId="0" xfId="0" applyFont="1"/>
    <xf numFmtId="0" fontId="15" fillId="0" borderId="51" xfId="0" applyFont="1" applyBorder="1" applyAlignment="1">
      <alignment vertical="top" wrapText="1"/>
    </xf>
    <xf numFmtId="0" fontId="15" fillId="0" borderId="18" xfId="0" applyFont="1" applyBorder="1" applyAlignment="1">
      <alignment vertical="top" wrapText="1"/>
    </xf>
    <xf numFmtId="0" fontId="16" fillId="0" borderId="53" xfId="0" applyNumberFormat="1" applyFont="1" applyBorder="1"/>
    <xf numFmtId="0" fontId="15" fillId="4" borderId="51" xfId="1" applyFont="1" applyFill="1" applyBorder="1" applyAlignment="1">
      <alignment horizontal="center" vertical="top" wrapText="1"/>
    </xf>
    <xf numFmtId="0" fontId="15" fillId="4" borderId="58" xfId="1" applyFont="1" applyFill="1" applyBorder="1" applyAlignment="1">
      <alignment horizontal="center" vertical="top" wrapText="1"/>
    </xf>
    <xf numFmtId="0" fontId="20" fillId="0" borderId="52" xfId="0" applyFont="1" applyBorder="1" applyAlignment="1">
      <alignment horizontal="center"/>
    </xf>
    <xf numFmtId="165" fontId="15" fillId="14" borderId="0" xfId="0" applyNumberFormat="1" applyFont="1" applyFill="1" applyBorder="1" applyAlignment="1">
      <alignment horizontal="center" vertical="top" wrapText="1"/>
    </xf>
    <xf numFmtId="165" fontId="15" fillId="8" borderId="52" xfId="0" applyNumberFormat="1" applyFont="1" applyFill="1" applyBorder="1" applyAlignment="1">
      <alignment horizontal="center" vertical="top" wrapText="1"/>
    </xf>
    <xf numFmtId="0" fontId="15" fillId="8" borderId="57" xfId="0" applyFont="1" applyFill="1" applyBorder="1" applyAlignment="1">
      <alignment horizontal="center" vertical="top" wrapText="1"/>
    </xf>
    <xf numFmtId="0" fontId="15" fillId="8" borderId="54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 wrapText="1"/>
    </xf>
    <xf numFmtId="0" fontId="15" fillId="8" borderId="2" xfId="0" applyFont="1" applyFill="1" applyBorder="1" applyAlignment="1">
      <alignment horizontal="center" vertical="top" wrapText="1"/>
    </xf>
    <xf numFmtId="0" fontId="21" fillId="10" borderId="0" xfId="0" applyFont="1" applyFill="1"/>
    <xf numFmtId="0" fontId="23" fillId="11" borderId="0" xfId="0" applyFont="1" applyFill="1" applyBorder="1" applyAlignment="1">
      <alignment horizontal="center" vertical="top" wrapText="1"/>
    </xf>
    <xf numFmtId="0" fontId="15" fillId="6" borderId="3" xfId="0" applyFont="1" applyFill="1" applyBorder="1" applyAlignment="1">
      <alignment horizontal="center" vertical="top" wrapText="1"/>
    </xf>
    <xf numFmtId="0" fontId="15" fillId="6" borderId="44" xfId="0" applyFont="1" applyFill="1" applyBorder="1" applyAlignment="1">
      <alignment horizontal="center" vertical="top" wrapText="1"/>
    </xf>
    <xf numFmtId="0" fontId="15" fillId="6" borderId="65" xfId="0" applyFont="1" applyFill="1" applyBorder="1" applyAlignment="1">
      <alignment horizontal="center" vertical="top" wrapText="1"/>
    </xf>
    <xf numFmtId="0" fontId="15" fillId="6" borderId="66" xfId="0" applyFont="1" applyFill="1" applyBorder="1" applyAlignment="1">
      <alignment horizontal="center" vertical="top" wrapText="1"/>
    </xf>
    <xf numFmtId="0" fontId="15" fillId="6" borderId="67" xfId="0" applyFont="1" applyFill="1" applyBorder="1" applyAlignment="1">
      <alignment horizontal="center" vertical="top" wrapText="1"/>
    </xf>
    <xf numFmtId="0" fontId="15" fillId="6" borderId="68" xfId="0" applyFont="1" applyFill="1" applyBorder="1" applyAlignment="1">
      <alignment horizontal="center" vertical="top" wrapText="1"/>
    </xf>
    <xf numFmtId="0" fontId="15" fillId="6" borderId="69" xfId="0" applyFont="1" applyFill="1" applyBorder="1" applyAlignment="1">
      <alignment horizontal="center" vertical="top" wrapText="1"/>
    </xf>
    <xf numFmtId="0" fontId="15" fillId="6" borderId="70" xfId="0" applyFont="1" applyFill="1" applyBorder="1" applyAlignment="1">
      <alignment horizontal="center" vertical="top" wrapText="1"/>
    </xf>
    <xf numFmtId="0" fontId="15" fillId="6" borderId="17" xfId="0" applyFont="1" applyFill="1" applyBorder="1" applyAlignment="1">
      <alignment horizontal="center" wrapText="1"/>
    </xf>
    <xf numFmtId="0" fontId="15" fillId="6" borderId="71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vertical="top" wrapText="1"/>
    </xf>
    <xf numFmtId="0" fontId="8" fillId="6" borderId="44" xfId="0" applyFont="1" applyFill="1" applyBorder="1" applyAlignment="1">
      <alignment horizontal="center" vertical="top" wrapText="1"/>
    </xf>
    <xf numFmtId="0" fontId="8" fillId="6" borderId="65" xfId="0" applyFont="1" applyFill="1" applyBorder="1" applyAlignment="1">
      <alignment horizontal="center" vertical="top" wrapText="1"/>
    </xf>
    <xf numFmtId="0" fontId="8" fillId="6" borderId="72" xfId="0" applyFont="1" applyFill="1" applyBorder="1" applyAlignment="1">
      <alignment horizontal="center" vertical="top" wrapText="1"/>
    </xf>
    <xf numFmtId="0" fontId="8" fillId="6" borderId="27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horizontal="center" wrapText="1"/>
    </xf>
    <xf numFmtId="0" fontId="8" fillId="6" borderId="21" xfId="0" applyFont="1" applyFill="1" applyBorder="1" applyAlignment="1">
      <alignment horizontal="center" wrapText="1"/>
    </xf>
    <xf numFmtId="0" fontId="8" fillId="6" borderId="68" xfId="0" applyFont="1" applyFill="1" applyBorder="1" applyAlignment="1">
      <alignment horizontal="center" vertical="top" wrapText="1"/>
    </xf>
    <xf numFmtId="0" fontId="8" fillId="6" borderId="69" xfId="0" applyFont="1" applyFill="1" applyBorder="1" applyAlignment="1">
      <alignment horizontal="center" vertical="top" wrapText="1"/>
    </xf>
    <xf numFmtId="0" fontId="8" fillId="6" borderId="66" xfId="0" applyFont="1" applyFill="1" applyBorder="1" applyAlignment="1">
      <alignment horizontal="center" vertical="top" wrapText="1"/>
    </xf>
    <xf numFmtId="0" fontId="8" fillId="6" borderId="70" xfId="0" applyFont="1" applyFill="1" applyBorder="1" applyAlignment="1">
      <alignment horizontal="center" vertical="top" wrapText="1"/>
    </xf>
    <xf numFmtId="0" fontId="8" fillId="6" borderId="73" xfId="0" applyFont="1" applyFill="1" applyBorder="1" applyAlignment="1">
      <alignment horizontal="center" vertical="top" wrapText="1"/>
    </xf>
    <xf numFmtId="0" fontId="8" fillId="6" borderId="71" xfId="0" applyFont="1" applyFill="1" applyBorder="1" applyAlignment="1">
      <alignment horizontal="center" wrapText="1"/>
    </xf>
    <xf numFmtId="0" fontId="8" fillId="6" borderId="74" xfId="0" applyFont="1" applyFill="1" applyBorder="1" applyAlignment="1">
      <alignment horizontal="center" vertical="top" wrapText="1"/>
    </xf>
    <xf numFmtId="0" fontId="8" fillId="6" borderId="67" xfId="0" applyFont="1" applyFill="1" applyBorder="1" applyAlignment="1">
      <alignment horizontal="center" vertical="top" wrapText="1"/>
    </xf>
    <xf numFmtId="0" fontId="15" fillId="6" borderId="21" xfId="0" applyFont="1" applyFill="1" applyBorder="1" applyAlignment="1">
      <alignment horizontal="center" wrapText="1"/>
    </xf>
    <xf numFmtId="0" fontId="15" fillId="6" borderId="75" xfId="0" applyFont="1" applyFill="1" applyBorder="1" applyAlignment="1">
      <alignment horizontal="center" vertical="top" wrapText="1"/>
    </xf>
    <xf numFmtId="0" fontId="15" fillId="6" borderId="72" xfId="0" applyFont="1" applyFill="1" applyBorder="1" applyAlignment="1">
      <alignment horizontal="center" vertical="top" wrapText="1"/>
    </xf>
    <xf numFmtId="0" fontId="15" fillId="6" borderId="73" xfId="0" applyFont="1" applyFill="1" applyBorder="1" applyAlignment="1">
      <alignment horizontal="center" vertical="top" wrapText="1"/>
    </xf>
    <xf numFmtId="0" fontId="15" fillId="6" borderId="27" xfId="0" applyFont="1" applyFill="1" applyBorder="1" applyAlignment="1">
      <alignment horizontal="center" vertical="top" wrapText="1"/>
    </xf>
    <xf numFmtId="0" fontId="15" fillId="6" borderId="74" xfId="0" applyFont="1" applyFill="1" applyBorder="1" applyAlignment="1">
      <alignment horizontal="center" vertical="top" wrapText="1"/>
    </xf>
    <xf numFmtId="0" fontId="15" fillId="6" borderId="84" xfId="0" applyFont="1" applyFill="1" applyBorder="1" applyAlignment="1">
      <alignment horizontal="center" vertical="top" wrapText="1"/>
    </xf>
    <xf numFmtId="0" fontId="15" fillId="6" borderId="23" xfId="0" applyFont="1" applyFill="1" applyBorder="1" applyAlignment="1">
      <alignment horizontal="center" vertical="top" wrapText="1"/>
    </xf>
    <xf numFmtId="0" fontId="15" fillId="6" borderId="78" xfId="0" applyFont="1" applyFill="1" applyBorder="1" applyAlignment="1">
      <alignment horizontal="center" vertical="top" wrapText="1"/>
    </xf>
    <xf numFmtId="0" fontId="15" fillId="6" borderId="48" xfId="0" applyFont="1" applyFill="1" applyBorder="1" applyAlignment="1">
      <alignment horizontal="center" vertical="top" wrapText="1"/>
    </xf>
    <xf numFmtId="0" fontId="15" fillId="6" borderId="55" xfId="0" applyFont="1" applyFill="1" applyBorder="1" applyAlignment="1">
      <alignment horizontal="center" vertical="top" wrapText="1"/>
    </xf>
    <xf numFmtId="0" fontId="15" fillId="6" borderId="25" xfId="0" applyFont="1" applyFill="1" applyBorder="1" applyAlignment="1">
      <alignment horizontal="center" vertical="top" wrapText="1"/>
    </xf>
    <xf numFmtId="0" fontId="15" fillId="6" borderId="28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209550</xdr:rowOff>
    </xdr:from>
    <xdr:to>
      <xdr:col>8</xdr:col>
      <xdr:colOff>152400</xdr:colOff>
      <xdr:row>21</xdr:row>
      <xdr:rowOff>142875</xdr:rowOff>
    </xdr:to>
    <xdr:sp macro="" textlink="">
      <xdr:nvSpPr>
        <xdr:cNvPr id="1067" name="Line 1">
          <a:extLst>
            <a:ext uri="{FF2B5EF4-FFF2-40B4-BE49-F238E27FC236}">
              <a16:creationId xmlns:a16="http://schemas.microsoft.com/office/drawing/2014/main" xmlns="" id="{AD69487B-7570-4D52-A1C5-418457167D97}"/>
            </a:ext>
          </a:extLst>
        </xdr:cNvPr>
        <xdr:cNvSpPr>
          <a:spLocks noChangeShapeType="1"/>
        </xdr:cNvSpPr>
      </xdr:nvSpPr>
      <xdr:spPr bwMode="auto">
        <a:xfrm>
          <a:off x="2867025" y="1038225"/>
          <a:ext cx="3267075" cy="559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209550</xdr:rowOff>
    </xdr:from>
    <xdr:to>
      <xdr:col>8</xdr:col>
      <xdr:colOff>152400</xdr:colOff>
      <xdr:row>21</xdr:row>
      <xdr:rowOff>142875</xdr:rowOff>
    </xdr:to>
    <xdr:sp macro="" textlink="">
      <xdr:nvSpPr>
        <xdr:cNvPr id="2125" name="Line 1">
          <a:extLst>
            <a:ext uri="{FF2B5EF4-FFF2-40B4-BE49-F238E27FC236}">
              <a16:creationId xmlns:a16="http://schemas.microsoft.com/office/drawing/2014/main" xmlns="" id="{4710D8F4-B55A-457E-8E8D-172599783A4D}"/>
            </a:ext>
          </a:extLst>
        </xdr:cNvPr>
        <xdr:cNvSpPr>
          <a:spLocks noChangeShapeType="1"/>
        </xdr:cNvSpPr>
      </xdr:nvSpPr>
      <xdr:spPr bwMode="auto">
        <a:xfrm>
          <a:off x="2867025" y="1009650"/>
          <a:ext cx="3267075" cy="559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676275</xdr:colOff>
      <xdr:row>46</xdr:row>
      <xdr:rowOff>9525</xdr:rowOff>
    </xdr:from>
    <xdr:to>
      <xdr:col>9</xdr:col>
      <xdr:colOff>47625</xdr:colOff>
      <xdr:row>46</xdr:row>
      <xdr:rowOff>180975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BD041C24-4BCC-44E6-A247-AB0B5D8E8C52}"/>
            </a:ext>
          </a:extLst>
        </xdr:cNvPr>
        <xdr:cNvCxnSpPr/>
      </xdr:nvCxnSpPr>
      <xdr:spPr>
        <a:xfrm rot="10800000" flipV="1">
          <a:off x="5943600" y="14363700"/>
          <a:ext cx="80010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209550</xdr:rowOff>
    </xdr:from>
    <xdr:to>
      <xdr:col>8</xdr:col>
      <xdr:colOff>152400</xdr:colOff>
      <xdr:row>21</xdr:row>
      <xdr:rowOff>142875</xdr:rowOff>
    </xdr:to>
    <xdr:sp macro="" textlink="">
      <xdr:nvSpPr>
        <xdr:cNvPr id="5162" name="Line 1">
          <a:extLst>
            <a:ext uri="{FF2B5EF4-FFF2-40B4-BE49-F238E27FC236}">
              <a16:creationId xmlns:a16="http://schemas.microsoft.com/office/drawing/2014/main" xmlns="" id="{2FE889CE-489E-4B29-8432-38E541E1FB54}"/>
            </a:ext>
          </a:extLst>
        </xdr:cNvPr>
        <xdr:cNvSpPr>
          <a:spLocks noChangeShapeType="1"/>
        </xdr:cNvSpPr>
      </xdr:nvSpPr>
      <xdr:spPr bwMode="auto">
        <a:xfrm>
          <a:off x="2867025" y="1009650"/>
          <a:ext cx="3267075" cy="559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209550</xdr:rowOff>
    </xdr:from>
    <xdr:to>
      <xdr:col>8</xdr:col>
      <xdr:colOff>152400</xdr:colOff>
      <xdr:row>21</xdr:row>
      <xdr:rowOff>142875</xdr:rowOff>
    </xdr:to>
    <xdr:sp macro="" textlink="">
      <xdr:nvSpPr>
        <xdr:cNvPr id="6185" name="Line 1">
          <a:extLst>
            <a:ext uri="{FF2B5EF4-FFF2-40B4-BE49-F238E27FC236}">
              <a16:creationId xmlns:a16="http://schemas.microsoft.com/office/drawing/2014/main" xmlns="" id="{3C768A9E-3770-49BD-9E78-3EA9E004A2ED}"/>
            </a:ext>
          </a:extLst>
        </xdr:cNvPr>
        <xdr:cNvSpPr>
          <a:spLocks noChangeShapeType="1"/>
        </xdr:cNvSpPr>
      </xdr:nvSpPr>
      <xdr:spPr bwMode="auto">
        <a:xfrm>
          <a:off x="2867025" y="1009650"/>
          <a:ext cx="3267075" cy="559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209550</xdr:rowOff>
    </xdr:from>
    <xdr:to>
      <xdr:col>8</xdr:col>
      <xdr:colOff>152400</xdr:colOff>
      <xdr:row>21</xdr:row>
      <xdr:rowOff>142875</xdr:rowOff>
    </xdr:to>
    <xdr:sp macro="" textlink="">
      <xdr:nvSpPr>
        <xdr:cNvPr id="8233" name="Line 1">
          <a:extLst>
            <a:ext uri="{FF2B5EF4-FFF2-40B4-BE49-F238E27FC236}">
              <a16:creationId xmlns:a16="http://schemas.microsoft.com/office/drawing/2014/main" xmlns="" id="{F74904BD-EC35-4902-97D6-AF56D3686ABB}"/>
            </a:ext>
          </a:extLst>
        </xdr:cNvPr>
        <xdr:cNvSpPr>
          <a:spLocks noChangeShapeType="1"/>
        </xdr:cNvSpPr>
      </xdr:nvSpPr>
      <xdr:spPr bwMode="auto">
        <a:xfrm>
          <a:off x="2867025" y="1009650"/>
          <a:ext cx="3267075" cy="559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209550</xdr:rowOff>
    </xdr:from>
    <xdr:to>
      <xdr:col>8</xdr:col>
      <xdr:colOff>152400</xdr:colOff>
      <xdr:row>21</xdr:row>
      <xdr:rowOff>142875</xdr:rowOff>
    </xdr:to>
    <xdr:sp macro="" textlink="">
      <xdr:nvSpPr>
        <xdr:cNvPr id="9251" name="Line 1">
          <a:extLst>
            <a:ext uri="{FF2B5EF4-FFF2-40B4-BE49-F238E27FC236}">
              <a16:creationId xmlns:a16="http://schemas.microsoft.com/office/drawing/2014/main" xmlns="" id="{735BBD40-E55D-4B99-BD11-A4467F5F7029}"/>
            </a:ext>
          </a:extLst>
        </xdr:cNvPr>
        <xdr:cNvSpPr>
          <a:spLocks noChangeShapeType="1"/>
        </xdr:cNvSpPr>
      </xdr:nvSpPr>
      <xdr:spPr bwMode="auto">
        <a:xfrm>
          <a:off x="3714750" y="1009650"/>
          <a:ext cx="5934075" cy="559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990601</xdr:colOff>
      <xdr:row>46</xdr:row>
      <xdr:rowOff>171449</xdr:rowOff>
    </xdr:from>
    <xdr:to>
      <xdr:col>8</xdr:col>
      <xdr:colOff>57151</xdr:colOff>
      <xdr:row>46</xdr:row>
      <xdr:rowOff>180974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xmlns="" id="{D062F5EA-4E49-4ACB-9FE3-2AEFA4CE5F8A}"/>
            </a:ext>
          </a:extLst>
        </xdr:cNvPr>
        <xdr:cNvCxnSpPr/>
      </xdr:nvCxnSpPr>
      <xdr:spPr>
        <a:xfrm rot="10800000" flipV="1">
          <a:off x="9239251" y="13563599"/>
          <a:ext cx="314325" cy="952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990601</xdr:colOff>
      <xdr:row>58</xdr:row>
      <xdr:rowOff>171449</xdr:rowOff>
    </xdr:from>
    <xdr:to>
      <xdr:col>8</xdr:col>
      <xdr:colOff>57151</xdr:colOff>
      <xdr:row>58</xdr:row>
      <xdr:rowOff>180974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xmlns="" id="{11D59189-CB3E-411B-A1AB-7F918D82E824}"/>
            </a:ext>
          </a:extLst>
        </xdr:cNvPr>
        <xdr:cNvCxnSpPr/>
      </xdr:nvCxnSpPr>
      <xdr:spPr>
        <a:xfrm rot="10800000" flipV="1">
          <a:off x="9239251" y="16659224"/>
          <a:ext cx="314325" cy="952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990601</xdr:colOff>
      <xdr:row>71</xdr:row>
      <xdr:rowOff>171449</xdr:rowOff>
    </xdr:from>
    <xdr:to>
      <xdr:col>8</xdr:col>
      <xdr:colOff>57151</xdr:colOff>
      <xdr:row>71</xdr:row>
      <xdr:rowOff>180974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xmlns="" id="{11D59189-CB3E-411B-A1AB-7F918D82E824}"/>
            </a:ext>
          </a:extLst>
        </xdr:cNvPr>
        <xdr:cNvCxnSpPr/>
      </xdr:nvCxnSpPr>
      <xdr:spPr>
        <a:xfrm rot="10800000" flipV="1">
          <a:off x="9239251" y="16659224"/>
          <a:ext cx="314325" cy="952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990601</xdr:colOff>
      <xdr:row>58</xdr:row>
      <xdr:rowOff>171449</xdr:rowOff>
    </xdr:from>
    <xdr:to>
      <xdr:col>8</xdr:col>
      <xdr:colOff>57151</xdr:colOff>
      <xdr:row>58</xdr:row>
      <xdr:rowOff>180974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D062F5EA-4E49-4ACB-9FE3-2AEFA4CE5F8A}"/>
            </a:ext>
          </a:extLst>
        </xdr:cNvPr>
        <xdr:cNvCxnSpPr/>
      </xdr:nvCxnSpPr>
      <xdr:spPr>
        <a:xfrm rot="10800000" flipV="1">
          <a:off x="9239251" y="13563599"/>
          <a:ext cx="314325" cy="952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990601</xdr:colOff>
      <xdr:row>71</xdr:row>
      <xdr:rowOff>171449</xdr:rowOff>
    </xdr:from>
    <xdr:to>
      <xdr:col>8</xdr:col>
      <xdr:colOff>57151</xdr:colOff>
      <xdr:row>71</xdr:row>
      <xdr:rowOff>180974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xmlns="" id="{11D59189-CB3E-411B-A1AB-7F918D82E824}"/>
            </a:ext>
          </a:extLst>
        </xdr:cNvPr>
        <xdr:cNvCxnSpPr/>
      </xdr:nvCxnSpPr>
      <xdr:spPr>
        <a:xfrm rot="10800000" flipV="1">
          <a:off x="9239251" y="16659224"/>
          <a:ext cx="314325" cy="952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990601</xdr:colOff>
      <xdr:row>71</xdr:row>
      <xdr:rowOff>171449</xdr:rowOff>
    </xdr:from>
    <xdr:to>
      <xdr:col>8</xdr:col>
      <xdr:colOff>57151</xdr:colOff>
      <xdr:row>71</xdr:row>
      <xdr:rowOff>180974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D062F5EA-4E49-4ACB-9FE3-2AEFA4CE5F8A}"/>
            </a:ext>
          </a:extLst>
        </xdr:cNvPr>
        <xdr:cNvCxnSpPr/>
      </xdr:nvCxnSpPr>
      <xdr:spPr>
        <a:xfrm rot="10800000" flipV="1">
          <a:off x="9239251" y="16659224"/>
          <a:ext cx="314325" cy="952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0"/>
  <sheetViews>
    <sheetView tabSelected="1" topLeftCell="A12" workbookViewId="0">
      <selection activeCell="C13" sqref="C13"/>
    </sheetView>
  </sheetViews>
  <sheetFormatPr baseColWidth="10" defaultColWidth="9.140625" defaultRowHeight="12.75"/>
  <cols>
    <col min="1" max="1" width="11.42578125" customWidth="1"/>
    <col min="2" max="2" width="22.28515625" customWidth="1"/>
    <col min="3" max="13" width="15.7109375" customWidth="1"/>
    <col min="14" max="255" width="11.42578125" customWidth="1"/>
  </cols>
  <sheetData>
    <row r="1" spans="2:13" ht="30" customHeight="1" thickBot="1">
      <c r="B1" s="182" t="s">
        <v>41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</row>
    <row r="2" spans="2:13" ht="30" customHeight="1" thickTop="1" thickBot="1">
      <c r="B2" s="163"/>
      <c r="C2" s="164" t="s">
        <v>61</v>
      </c>
      <c r="D2" s="165"/>
      <c r="E2" s="165"/>
      <c r="F2" s="165" t="s">
        <v>17</v>
      </c>
      <c r="G2" s="165"/>
      <c r="H2" s="165"/>
      <c r="I2" s="166"/>
      <c r="J2" s="167"/>
      <c r="K2" s="168"/>
      <c r="L2" s="168"/>
      <c r="M2" s="326"/>
    </row>
    <row r="3" spans="2:13" ht="30" customHeight="1">
      <c r="B3" s="169"/>
      <c r="C3" s="170" t="s">
        <v>6</v>
      </c>
      <c r="D3" s="170" t="s">
        <v>7</v>
      </c>
      <c r="E3" s="170" t="s">
        <v>0</v>
      </c>
      <c r="F3" s="170" t="s">
        <v>1</v>
      </c>
      <c r="G3" s="171"/>
      <c r="H3" s="172" t="s">
        <v>2</v>
      </c>
      <c r="I3" s="173"/>
      <c r="J3" s="168"/>
      <c r="K3" s="168"/>
      <c r="L3" s="168"/>
      <c r="M3" s="326"/>
    </row>
    <row r="4" spans="2:13" ht="30" customHeight="1">
      <c r="B4" s="174" t="s">
        <v>5</v>
      </c>
      <c r="C4" s="175">
        <v>350</v>
      </c>
      <c r="D4" s="175">
        <v>200</v>
      </c>
      <c r="E4" s="175">
        <v>150</v>
      </c>
      <c r="F4" s="175"/>
      <c r="G4" s="176"/>
      <c r="H4" s="177">
        <f>SUM(D4:F4)</f>
        <v>350</v>
      </c>
      <c r="I4" s="178"/>
      <c r="J4" s="168"/>
      <c r="K4" s="168"/>
      <c r="L4" s="168"/>
      <c r="M4" s="326"/>
    </row>
    <row r="5" spans="2:13" ht="30" customHeight="1">
      <c r="B5" s="174" t="s">
        <v>19</v>
      </c>
      <c r="C5" s="175">
        <v>2000</v>
      </c>
      <c r="D5" s="175">
        <v>900</v>
      </c>
      <c r="E5" s="175">
        <v>800</v>
      </c>
      <c r="F5" s="175">
        <v>300</v>
      </c>
      <c r="G5" s="176"/>
      <c r="H5" s="177">
        <f>SUM(D5:F5)</f>
        <v>2000</v>
      </c>
      <c r="I5" s="178"/>
      <c r="J5" s="168"/>
      <c r="K5" s="168"/>
      <c r="L5" s="168"/>
      <c r="M5" s="326"/>
    </row>
    <row r="6" spans="2:13" ht="30" customHeight="1">
      <c r="B6" s="174" t="s">
        <v>20</v>
      </c>
      <c r="C6" s="175">
        <v>2500</v>
      </c>
      <c r="D6" s="175">
        <v>1000</v>
      </c>
      <c r="E6" s="175">
        <v>700</v>
      </c>
      <c r="F6" s="175">
        <v>800</v>
      </c>
      <c r="G6" s="176"/>
      <c r="H6" s="177">
        <f>SUM(D6:F6)</f>
        <v>2500</v>
      </c>
      <c r="I6" s="178"/>
      <c r="J6" s="168"/>
      <c r="K6" s="168"/>
      <c r="L6" s="168"/>
      <c r="M6" s="326"/>
    </row>
    <row r="7" spans="2:13" ht="30" customHeight="1">
      <c r="B7" s="174" t="s">
        <v>29</v>
      </c>
      <c r="C7" s="175">
        <v>1500</v>
      </c>
      <c r="D7" s="175">
        <v>600</v>
      </c>
      <c r="E7" s="175">
        <v>100</v>
      </c>
      <c r="F7" s="175">
        <v>800</v>
      </c>
      <c r="G7" s="176"/>
      <c r="H7" s="177">
        <f>SUM(D7:F7)</f>
        <v>1500</v>
      </c>
      <c r="I7" s="178"/>
      <c r="J7" s="168"/>
      <c r="K7" s="168"/>
      <c r="L7" s="168"/>
      <c r="M7" s="326"/>
    </row>
    <row r="8" spans="2:13" ht="30" customHeight="1">
      <c r="B8" s="169" t="s">
        <v>4</v>
      </c>
      <c r="C8" s="170">
        <v>20000</v>
      </c>
      <c r="D8" s="170">
        <f>C8-F8-E8</f>
        <v>11250</v>
      </c>
      <c r="E8" s="170">
        <v>8700</v>
      </c>
      <c r="F8" s="170">
        <v>50</v>
      </c>
      <c r="G8" s="176"/>
      <c r="H8" s="177">
        <f>SUM(D8:F8)</f>
        <v>20000</v>
      </c>
      <c r="I8" s="178"/>
      <c r="J8" s="168"/>
      <c r="K8" s="168"/>
      <c r="L8" s="168"/>
      <c r="M8" s="326"/>
    </row>
    <row r="9" spans="2:13" ht="30" customHeight="1" thickBot="1">
      <c r="B9" s="179" t="s">
        <v>2</v>
      </c>
      <c r="C9" s="180">
        <f>SUM(C4:C8)</f>
        <v>26350</v>
      </c>
      <c r="D9" s="180">
        <f>SUM(D4:D8)</f>
        <v>13950</v>
      </c>
      <c r="E9" s="180">
        <f>SUM(E4:E8)</f>
        <v>10450</v>
      </c>
      <c r="F9" s="180">
        <f>SUM(F4:F8)</f>
        <v>1950</v>
      </c>
      <c r="G9" s="180"/>
      <c r="H9" s="180">
        <f>SUM(H4:H8)</f>
        <v>26350</v>
      </c>
      <c r="I9" s="238"/>
      <c r="J9" s="168"/>
      <c r="K9" s="168"/>
      <c r="L9" s="168"/>
      <c r="M9" s="326"/>
    </row>
    <row r="10" spans="2:13" ht="30" customHeight="1" thickTop="1"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326"/>
    </row>
    <row r="11" spans="2:13" ht="30" customHeight="1" thickBot="1">
      <c r="B11" s="182" t="s">
        <v>13</v>
      </c>
      <c r="C11" s="182"/>
      <c r="D11" s="182"/>
      <c r="E11" s="182"/>
      <c r="F11" s="182"/>
      <c r="G11" s="182"/>
      <c r="H11" s="168"/>
      <c r="I11" s="168"/>
      <c r="J11" s="168"/>
      <c r="K11" s="168"/>
      <c r="L11" s="168"/>
      <c r="M11" s="326"/>
    </row>
    <row r="12" spans="2:13" ht="30" customHeight="1" thickBot="1">
      <c r="B12" s="182"/>
      <c r="C12" s="183" t="s">
        <v>31</v>
      </c>
      <c r="D12" s="184" t="s">
        <v>21</v>
      </c>
      <c r="E12" s="184" t="s">
        <v>22</v>
      </c>
      <c r="F12" s="184" t="s">
        <v>29</v>
      </c>
      <c r="G12" s="185" t="s">
        <v>4</v>
      </c>
      <c r="H12" s="168"/>
      <c r="I12" s="168"/>
      <c r="J12" s="168"/>
      <c r="K12" s="168"/>
      <c r="L12" s="168"/>
      <c r="M12" s="326"/>
    </row>
    <row r="13" spans="2:13" ht="30" customHeight="1">
      <c r="B13" s="350" t="s">
        <v>5</v>
      </c>
      <c r="C13" s="187">
        <v>5</v>
      </c>
      <c r="D13" s="187">
        <v>10</v>
      </c>
      <c r="E13" s="187">
        <v>0</v>
      </c>
      <c r="F13" s="188">
        <v>0</v>
      </c>
      <c r="G13" s="189"/>
      <c r="H13" s="168"/>
      <c r="I13" s="168"/>
      <c r="J13" s="168"/>
      <c r="K13" s="168"/>
      <c r="L13" s="168"/>
      <c r="M13" s="326"/>
    </row>
    <row r="14" spans="2:13" ht="30" customHeight="1">
      <c r="B14" s="351" t="s">
        <v>19</v>
      </c>
      <c r="C14" s="187">
        <v>7</v>
      </c>
      <c r="D14" s="187">
        <v>15</v>
      </c>
      <c r="E14" s="187">
        <v>5</v>
      </c>
      <c r="F14" s="187">
        <v>20</v>
      </c>
      <c r="G14" s="189">
        <v>1</v>
      </c>
      <c r="H14" s="168"/>
      <c r="I14" s="168"/>
      <c r="J14" s="168"/>
      <c r="K14" s="168"/>
      <c r="L14" s="168"/>
      <c r="M14" s="326"/>
    </row>
    <row r="15" spans="2:13" ht="30" customHeight="1">
      <c r="B15" s="351" t="s">
        <v>20</v>
      </c>
      <c r="C15" s="187">
        <v>0</v>
      </c>
      <c r="D15" s="187">
        <v>13</v>
      </c>
      <c r="E15" s="187">
        <v>27</v>
      </c>
      <c r="F15" s="188">
        <v>5</v>
      </c>
      <c r="G15" s="189">
        <v>0</v>
      </c>
      <c r="H15" s="168"/>
      <c r="I15" s="168"/>
      <c r="J15" s="168"/>
      <c r="K15" s="168"/>
      <c r="L15" s="168"/>
      <c r="M15" s="326"/>
    </row>
    <row r="16" spans="2:13" ht="30" customHeight="1">
      <c r="B16" s="351" t="s">
        <v>29</v>
      </c>
      <c r="C16" s="187">
        <v>0</v>
      </c>
      <c r="D16" s="187">
        <v>2</v>
      </c>
      <c r="E16" s="188">
        <v>0</v>
      </c>
      <c r="F16" s="187">
        <v>15</v>
      </c>
      <c r="G16" s="189">
        <v>2</v>
      </c>
      <c r="H16" s="168"/>
      <c r="I16" s="168"/>
      <c r="J16" s="168"/>
      <c r="K16" s="168"/>
      <c r="L16" s="168"/>
      <c r="M16" s="326"/>
    </row>
    <row r="17" spans="2:13" ht="30" customHeight="1" thickBot="1">
      <c r="B17" s="352" t="s">
        <v>4</v>
      </c>
      <c r="C17" s="193">
        <v>5</v>
      </c>
      <c r="D17" s="193">
        <v>8</v>
      </c>
      <c r="E17" s="193">
        <v>6</v>
      </c>
      <c r="F17" s="193">
        <v>15</v>
      </c>
      <c r="G17" s="194">
        <v>52.5</v>
      </c>
      <c r="H17" s="168"/>
      <c r="I17" s="168"/>
      <c r="J17" s="168"/>
      <c r="K17" s="168"/>
      <c r="L17" s="168"/>
      <c r="M17" s="326"/>
    </row>
    <row r="18" spans="2:13" ht="30" customHeight="1"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326"/>
    </row>
    <row r="19" spans="2:13" ht="30" customHeight="1" thickBot="1">
      <c r="B19" s="182" t="s">
        <v>14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326"/>
    </row>
    <row r="20" spans="2:13" ht="30" customHeight="1" thickTop="1">
      <c r="B20" s="389" t="s">
        <v>33</v>
      </c>
      <c r="C20" s="381" t="s">
        <v>8</v>
      </c>
      <c r="D20" s="382"/>
      <c r="E20" s="382"/>
      <c r="F20" s="382"/>
      <c r="G20" s="382"/>
      <c r="H20" s="383"/>
      <c r="I20" s="195" t="s">
        <v>7</v>
      </c>
      <c r="J20" s="386" t="s">
        <v>0</v>
      </c>
      <c r="K20" s="384" t="s">
        <v>18</v>
      </c>
      <c r="L20" s="384" t="s">
        <v>2</v>
      </c>
      <c r="M20" s="264" t="s">
        <v>53</v>
      </c>
    </row>
    <row r="21" spans="2:13" ht="30" customHeight="1" thickBot="1">
      <c r="B21" s="390"/>
      <c r="C21" s="196" t="s">
        <v>3</v>
      </c>
      <c r="D21" s="197" t="s">
        <v>21</v>
      </c>
      <c r="E21" s="197" t="s">
        <v>22</v>
      </c>
      <c r="F21" s="197" t="s">
        <v>29</v>
      </c>
      <c r="G21" s="197" t="s">
        <v>4</v>
      </c>
      <c r="H21" s="198" t="s">
        <v>2</v>
      </c>
      <c r="I21" s="199" t="s">
        <v>23</v>
      </c>
      <c r="J21" s="387"/>
      <c r="K21" s="388"/>
      <c r="L21" s="385"/>
      <c r="M21" s="353" t="s">
        <v>54</v>
      </c>
    </row>
    <row r="22" spans="2:13" ht="30" customHeight="1" thickTop="1">
      <c r="B22" s="354" t="s">
        <v>5</v>
      </c>
      <c r="C22" s="355">
        <f>C13*$C$4/100</f>
        <v>17.5</v>
      </c>
      <c r="D22" s="201">
        <f>D13*$C$5/100</f>
        <v>200</v>
      </c>
      <c r="E22" s="201">
        <f>E13*$C$6/100</f>
        <v>0</v>
      </c>
      <c r="F22" s="201">
        <f>F13*$C$7/100</f>
        <v>0</v>
      </c>
      <c r="G22" s="201">
        <f>G13*$C$8/100</f>
        <v>0</v>
      </c>
      <c r="H22" s="202">
        <f t="shared" ref="H22:H27" si="0">SUM(C22:G22)</f>
        <v>217.5</v>
      </c>
      <c r="I22" s="202">
        <f t="shared" ref="I22:K26" si="1">D4</f>
        <v>200</v>
      </c>
      <c r="J22" s="203">
        <f t="shared" si="1"/>
        <v>150</v>
      </c>
      <c r="K22" s="203">
        <f t="shared" si="1"/>
        <v>0</v>
      </c>
      <c r="L22" s="204">
        <f>H22+J22+K22</f>
        <v>367.5</v>
      </c>
      <c r="M22" s="356">
        <f>H22/I22</f>
        <v>1.0874999999999999</v>
      </c>
    </row>
    <row r="23" spans="2:13" ht="30" customHeight="1">
      <c r="B23" s="357" t="s">
        <v>19</v>
      </c>
      <c r="C23" s="210">
        <f>C14*$C$4/100</f>
        <v>24.5</v>
      </c>
      <c r="D23" s="205">
        <f>D14*$C$5/100</f>
        <v>300</v>
      </c>
      <c r="E23" s="205">
        <f>E14*$C$6/100</f>
        <v>125</v>
      </c>
      <c r="F23" s="205">
        <f>F14*$C$7/100</f>
        <v>300</v>
      </c>
      <c r="G23" s="205">
        <f>G14*$C$8/100</f>
        <v>200</v>
      </c>
      <c r="H23" s="206">
        <f t="shared" si="0"/>
        <v>949.5</v>
      </c>
      <c r="I23" s="206">
        <f t="shared" si="1"/>
        <v>900</v>
      </c>
      <c r="J23" s="203">
        <f t="shared" si="1"/>
        <v>800</v>
      </c>
      <c r="K23" s="203">
        <f t="shared" si="1"/>
        <v>300</v>
      </c>
      <c r="L23" s="207">
        <f>H23+J23+K23</f>
        <v>2049.5</v>
      </c>
      <c r="M23" s="356">
        <f t="shared" ref="M23:M26" si="2">H23/I23</f>
        <v>1.0549999999999999</v>
      </c>
    </row>
    <row r="24" spans="2:13" ht="30" customHeight="1">
      <c r="B24" s="357" t="s">
        <v>20</v>
      </c>
      <c r="C24" s="210">
        <f>C15*$C$4/100</f>
        <v>0</v>
      </c>
      <c r="D24" s="205">
        <f>D15*$C$5/100</f>
        <v>260</v>
      </c>
      <c r="E24" s="205">
        <f>E15*$C$6/100</f>
        <v>675</v>
      </c>
      <c r="F24" s="205">
        <f>F15*$C$7/100</f>
        <v>75</v>
      </c>
      <c r="G24" s="205">
        <f>G15*$C$8/100</f>
        <v>0</v>
      </c>
      <c r="H24" s="206">
        <f t="shared" si="0"/>
        <v>1010</v>
      </c>
      <c r="I24" s="206">
        <f t="shared" si="1"/>
        <v>1000</v>
      </c>
      <c r="J24" s="203">
        <f t="shared" si="1"/>
        <v>700</v>
      </c>
      <c r="K24" s="203">
        <f t="shared" si="1"/>
        <v>800</v>
      </c>
      <c r="L24" s="207">
        <f>H24+J24+K24</f>
        <v>2510</v>
      </c>
      <c r="M24" s="356">
        <f t="shared" si="2"/>
        <v>1.01</v>
      </c>
    </row>
    <row r="25" spans="2:13" ht="30" customHeight="1">
      <c r="B25" s="357" t="s">
        <v>29</v>
      </c>
      <c r="C25" s="210">
        <f>C16*$C$4/100</f>
        <v>0</v>
      </c>
      <c r="D25" s="205">
        <f>D16*$C$5/100</f>
        <v>40</v>
      </c>
      <c r="E25" s="205">
        <f>E16*$C$6/100</f>
        <v>0</v>
      </c>
      <c r="F25" s="205">
        <f>F16*$C$7/100</f>
        <v>225</v>
      </c>
      <c r="G25" s="205">
        <f>G16*$C$8/100</f>
        <v>400</v>
      </c>
      <c r="H25" s="206">
        <f t="shared" si="0"/>
        <v>665</v>
      </c>
      <c r="I25" s="206">
        <f t="shared" si="1"/>
        <v>600</v>
      </c>
      <c r="J25" s="203">
        <f t="shared" si="1"/>
        <v>100</v>
      </c>
      <c r="K25" s="203">
        <f t="shared" si="1"/>
        <v>800</v>
      </c>
      <c r="L25" s="207">
        <f>H25+J25+K25</f>
        <v>1565</v>
      </c>
      <c r="M25" s="356">
        <f t="shared" si="2"/>
        <v>1.1083333333333334</v>
      </c>
    </row>
    <row r="26" spans="2:13" ht="30" customHeight="1" thickBot="1">
      <c r="B26" s="357" t="s">
        <v>4</v>
      </c>
      <c r="C26" s="210">
        <f>C17*$C$4/100</f>
        <v>17.5</v>
      </c>
      <c r="D26" s="205">
        <f>D17*$C$5/100</f>
        <v>160</v>
      </c>
      <c r="E26" s="205">
        <f>E17*$C$6/100</f>
        <v>150</v>
      </c>
      <c r="F26" s="205">
        <f>F17*$C$7/100</f>
        <v>225</v>
      </c>
      <c r="G26" s="205">
        <f>G17*$C$8/100</f>
        <v>10500</v>
      </c>
      <c r="H26" s="206">
        <f t="shared" si="0"/>
        <v>11052.5</v>
      </c>
      <c r="I26" s="208">
        <f t="shared" si="1"/>
        <v>11250</v>
      </c>
      <c r="J26" s="203">
        <f t="shared" si="1"/>
        <v>8700</v>
      </c>
      <c r="K26" s="203">
        <f t="shared" si="1"/>
        <v>50</v>
      </c>
      <c r="L26" s="207">
        <f>H26+J26+K26</f>
        <v>19802.5</v>
      </c>
      <c r="M26" s="358">
        <f t="shared" si="2"/>
        <v>0.98244444444444445</v>
      </c>
    </row>
    <row r="27" spans="2:13" ht="30" customHeight="1" thickTop="1" thickBot="1">
      <c r="B27" s="359" t="s">
        <v>2</v>
      </c>
      <c r="C27" s="210">
        <f>SUM(C22:C26)</f>
        <v>59.5</v>
      </c>
      <c r="D27" s="205">
        <f>SUM(D22:D26)</f>
        <v>960</v>
      </c>
      <c r="E27" s="205">
        <f>SUM(E22:E26)</f>
        <v>950</v>
      </c>
      <c r="F27" s="205">
        <f>SUM(F22:F26)</f>
        <v>825</v>
      </c>
      <c r="G27" s="205">
        <f>SUM(G22:G26)</f>
        <v>11100</v>
      </c>
      <c r="H27" s="206">
        <f t="shared" si="0"/>
        <v>13894.5</v>
      </c>
      <c r="I27" s="211"/>
      <c r="J27" s="212">
        <f>SUM(J22:J26)</f>
        <v>10450</v>
      </c>
      <c r="K27" s="213">
        <f>SUM(K22:K26)</f>
        <v>1950</v>
      </c>
      <c r="L27" s="360">
        <f>SUM(L22:L26)</f>
        <v>26294.5</v>
      </c>
      <c r="M27" s="361"/>
    </row>
    <row r="28" spans="2:13" ht="30" customHeight="1" thickTop="1">
      <c r="B28" s="359" t="s">
        <v>28</v>
      </c>
      <c r="C28" s="210">
        <f t="shared" ref="C28:H28" si="3">C29-C27</f>
        <v>290.5</v>
      </c>
      <c r="D28" s="205">
        <f t="shared" si="3"/>
        <v>1040</v>
      </c>
      <c r="E28" s="205">
        <f t="shared" si="3"/>
        <v>1550</v>
      </c>
      <c r="F28" s="205">
        <f t="shared" si="3"/>
        <v>675</v>
      </c>
      <c r="G28" s="205">
        <f t="shared" si="3"/>
        <v>8900</v>
      </c>
      <c r="H28" s="215">
        <f t="shared" si="3"/>
        <v>12455.5</v>
      </c>
      <c r="I28" s="326"/>
      <c r="J28" s="319" t="s">
        <v>51</v>
      </c>
      <c r="K28" s="318" t="s">
        <v>52</v>
      </c>
      <c r="L28" s="318">
        <f>J27+K27</f>
        <v>12400</v>
      </c>
      <c r="M28" s="326"/>
    </row>
    <row r="29" spans="2:13" ht="30" customHeight="1" thickBot="1">
      <c r="B29" s="362" t="s">
        <v>10</v>
      </c>
      <c r="C29" s="218">
        <f>C4</f>
        <v>350</v>
      </c>
      <c r="D29" s="219">
        <f>C5</f>
        <v>2000</v>
      </c>
      <c r="E29" s="219">
        <f>C6</f>
        <v>2500</v>
      </c>
      <c r="F29" s="219">
        <f>C7</f>
        <v>1500</v>
      </c>
      <c r="G29" s="219">
        <f>C8</f>
        <v>20000</v>
      </c>
      <c r="H29" s="208">
        <f>SUM(C29:G29)</f>
        <v>26350</v>
      </c>
      <c r="I29" s="326"/>
      <c r="J29" s="319" t="s">
        <v>9</v>
      </c>
      <c r="K29" s="318" t="s">
        <v>55</v>
      </c>
      <c r="L29" s="318">
        <f>H28</f>
        <v>12455.5</v>
      </c>
      <c r="M29" s="326"/>
    </row>
    <row r="30" spans="2:13" ht="24.95" customHeight="1" thickTop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</sheetData>
  <mergeCells count="5">
    <mergeCell ref="C20:H20"/>
    <mergeCell ref="L20:L21"/>
    <mergeCell ref="J20:J21"/>
    <mergeCell ref="K20:K21"/>
    <mergeCell ref="B20:B2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N49"/>
  <sheetViews>
    <sheetView topLeftCell="A34" workbookViewId="0">
      <selection activeCell="L44" sqref="B31:L44"/>
    </sheetView>
  </sheetViews>
  <sheetFormatPr baseColWidth="10" defaultColWidth="9.140625" defaultRowHeight="12.75"/>
  <cols>
    <col min="1" max="1" width="11.42578125" customWidth="1"/>
    <col min="2" max="2" width="14" customWidth="1"/>
    <col min="3" max="14" width="10.7109375" customWidth="1"/>
    <col min="15" max="15" width="2" customWidth="1"/>
    <col min="16" max="256" width="11.42578125" customWidth="1"/>
  </cols>
  <sheetData>
    <row r="1" spans="2:14" ht="13.5" thickBot="1"/>
    <row r="2" spans="2:14" ht="24.95" customHeight="1" thickTop="1" thickBot="1">
      <c r="B2" s="8" t="s">
        <v>23</v>
      </c>
      <c r="C2" s="87" t="s">
        <v>32</v>
      </c>
      <c r="D2" s="9"/>
      <c r="E2" s="9"/>
      <c r="F2" s="9" t="s">
        <v>17</v>
      </c>
      <c r="G2" s="9"/>
      <c r="H2" s="9"/>
      <c r="I2" s="88"/>
      <c r="J2" s="89"/>
      <c r="K2" s="10"/>
      <c r="L2" s="10"/>
      <c r="M2" s="11"/>
      <c r="N2" s="11"/>
    </row>
    <row r="3" spans="2:14" ht="24.95" customHeight="1">
      <c r="B3" s="12"/>
      <c r="C3" s="13" t="s">
        <v>6</v>
      </c>
      <c r="D3" s="13" t="s">
        <v>7</v>
      </c>
      <c r="E3" s="13" t="s">
        <v>0</v>
      </c>
      <c r="F3" s="13" t="s">
        <v>1</v>
      </c>
      <c r="G3" s="14"/>
      <c r="H3" s="15" t="s">
        <v>2</v>
      </c>
      <c r="I3" s="16"/>
      <c r="J3" s="10"/>
      <c r="K3" s="10"/>
      <c r="L3" s="10"/>
      <c r="M3" s="11"/>
      <c r="N3" s="11"/>
    </row>
    <row r="4" spans="2:14" ht="24.95" customHeight="1">
      <c r="B4" s="17" t="s">
        <v>5</v>
      </c>
      <c r="C4" s="18">
        <v>350</v>
      </c>
      <c r="D4" s="18">
        <v>200</v>
      </c>
      <c r="E4" s="18">
        <v>150</v>
      </c>
      <c r="F4" s="18"/>
      <c r="G4" s="19"/>
      <c r="H4" s="20">
        <f>SUM(D4:F4)</f>
        <v>350</v>
      </c>
      <c r="I4" s="21"/>
      <c r="J4" s="10"/>
      <c r="K4" s="10"/>
      <c r="L4" s="10"/>
      <c r="M4" s="22"/>
      <c r="N4" s="23"/>
    </row>
    <row r="5" spans="2:14" ht="24.95" customHeight="1">
      <c r="B5" s="17" t="s">
        <v>19</v>
      </c>
      <c r="C5" s="18">
        <v>2000</v>
      </c>
      <c r="D5" s="18">
        <v>900</v>
      </c>
      <c r="E5" s="18">
        <v>800</v>
      </c>
      <c r="F5" s="18">
        <v>300</v>
      </c>
      <c r="G5" s="19"/>
      <c r="H5" s="20">
        <f>SUM(D5:F5)</f>
        <v>2000</v>
      </c>
      <c r="I5" s="21"/>
      <c r="J5" s="10"/>
      <c r="K5" s="10"/>
      <c r="L5" s="10"/>
      <c r="M5" s="11"/>
      <c r="N5" s="23"/>
    </row>
    <row r="6" spans="2:14" ht="24.95" customHeight="1">
      <c r="B6" s="17" t="s">
        <v>20</v>
      </c>
      <c r="C6" s="18">
        <v>2500</v>
      </c>
      <c r="D6" s="18">
        <v>1000</v>
      </c>
      <c r="E6" s="18">
        <v>700</v>
      </c>
      <c r="F6" s="18">
        <v>800</v>
      </c>
      <c r="G6" s="19"/>
      <c r="H6" s="20">
        <f>SUM(D6:F6)</f>
        <v>2500</v>
      </c>
      <c r="I6" s="21"/>
      <c r="J6" s="10"/>
      <c r="K6" s="10"/>
      <c r="L6" s="10"/>
      <c r="M6" s="11"/>
      <c r="N6" s="23"/>
    </row>
    <row r="7" spans="2:14" ht="24.95" customHeight="1">
      <c r="B7" s="17" t="s">
        <v>29</v>
      </c>
      <c r="C7" s="18">
        <v>1500</v>
      </c>
      <c r="D7" s="18">
        <v>600</v>
      </c>
      <c r="E7" s="18">
        <v>100</v>
      </c>
      <c r="F7" s="18">
        <v>800</v>
      </c>
      <c r="G7" s="19"/>
      <c r="H7" s="20">
        <f>SUM(D7:F7)</f>
        <v>1500</v>
      </c>
      <c r="I7" s="21"/>
      <c r="J7" s="10"/>
      <c r="K7" s="10"/>
      <c r="L7" s="10"/>
      <c r="M7" s="11"/>
      <c r="N7" s="23"/>
    </row>
    <row r="8" spans="2:14" ht="24.95" customHeight="1">
      <c r="B8" s="12" t="s">
        <v>4</v>
      </c>
      <c r="C8" s="13">
        <v>20000</v>
      </c>
      <c r="D8" s="13">
        <f>C8-F8-E8</f>
        <v>11250</v>
      </c>
      <c r="E8" s="13">
        <v>8700</v>
      </c>
      <c r="F8" s="13">
        <v>50</v>
      </c>
      <c r="G8" s="19"/>
      <c r="H8" s="20">
        <f>SUM(D8:F8)</f>
        <v>20000</v>
      </c>
      <c r="I8" s="21"/>
      <c r="J8" s="10"/>
      <c r="K8" s="10"/>
      <c r="L8" s="10"/>
      <c r="M8" s="11"/>
      <c r="N8" s="23"/>
    </row>
    <row r="9" spans="2:14" ht="24.95" customHeight="1" thickBot="1">
      <c r="B9" s="24" t="s">
        <v>2</v>
      </c>
      <c r="C9" s="25">
        <f>SUM(C4:C8)</f>
        <v>26350</v>
      </c>
      <c r="D9" s="25">
        <f>SUM(D4:D8)</f>
        <v>13950</v>
      </c>
      <c r="E9" s="25">
        <f>SUM(E4:E8)</f>
        <v>10450</v>
      </c>
      <c r="F9" s="25">
        <f>SUM(F4:F8)</f>
        <v>1950</v>
      </c>
      <c r="G9" s="25"/>
      <c r="H9" s="25">
        <f>SUM(H4:H8)</f>
        <v>26350</v>
      </c>
      <c r="I9" s="26"/>
      <c r="J9" s="10"/>
      <c r="K9" s="10"/>
      <c r="L9" s="10"/>
      <c r="M9" s="11"/>
      <c r="N9" s="23"/>
    </row>
    <row r="10" spans="2:14" ht="24.95" customHeight="1" thickTop="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23"/>
    </row>
    <row r="11" spans="2:14" ht="24.95" customHeight="1" thickBot="1">
      <c r="B11" s="6" t="s">
        <v>13</v>
      </c>
      <c r="C11" s="6"/>
      <c r="D11" s="6"/>
      <c r="E11" s="6"/>
      <c r="F11" s="6"/>
      <c r="G11" s="6"/>
      <c r="H11" s="10"/>
      <c r="I11" s="10"/>
      <c r="J11" s="10"/>
      <c r="K11" s="10"/>
      <c r="L11" s="10"/>
      <c r="M11" s="11"/>
      <c r="N11" s="23"/>
    </row>
    <row r="12" spans="2:14" ht="24.95" customHeight="1" thickBot="1">
      <c r="B12" s="6"/>
      <c r="C12" s="84" t="s">
        <v>31</v>
      </c>
      <c r="D12" s="85" t="s">
        <v>21</v>
      </c>
      <c r="E12" s="85" t="s">
        <v>22</v>
      </c>
      <c r="F12" s="85" t="s">
        <v>29</v>
      </c>
      <c r="G12" s="86" t="s">
        <v>4</v>
      </c>
      <c r="H12" s="10"/>
      <c r="I12" s="10"/>
      <c r="J12" s="10"/>
      <c r="K12" s="10"/>
      <c r="L12" s="10"/>
      <c r="M12" s="11"/>
      <c r="N12" s="23"/>
    </row>
    <row r="13" spans="2:14" ht="24.95" customHeight="1">
      <c r="B13" s="27" t="s">
        <v>5</v>
      </c>
      <c r="C13" s="29">
        <v>5</v>
      </c>
      <c r="D13" s="29">
        <v>10</v>
      </c>
      <c r="E13" s="29">
        <v>0</v>
      </c>
      <c r="F13" s="31">
        <v>0</v>
      </c>
      <c r="G13" s="30"/>
      <c r="H13" s="10"/>
      <c r="I13" s="10"/>
      <c r="J13" s="10"/>
      <c r="K13" s="10"/>
      <c r="L13" s="10"/>
      <c r="M13" s="11"/>
      <c r="N13" s="23"/>
    </row>
    <row r="14" spans="2:14" ht="24.95" customHeight="1">
      <c r="B14" s="28" t="s">
        <v>19</v>
      </c>
      <c r="C14" s="29">
        <v>7</v>
      </c>
      <c r="D14" s="29">
        <v>15</v>
      </c>
      <c r="E14" s="29">
        <v>5</v>
      </c>
      <c r="F14" s="29">
        <v>20</v>
      </c>
      <c r="G14" s="30">
        <v>1</v>
      </c>
      <c r="H14" s="10"/>
      <c r="I14" s="10"/>
      <c r="J14" s="10"/>
      <c r="K14" s="10"/>
      <c r="L14" s="10"/>
      <c r="M14" s="11"/>
      <c r="N14" s="23"/>
    </row>
    <row r="15" spans="2:14" ht="24.95" customHeight="1">
      <c r="B15" s="28" t="s">
        <v>20</v>
      </c>
      <c r="C15" s="29">
        <v>0</v>
      </c>
      <c r="D15" s="29">
        <v>13</v>
      </c>
      <c r="E15" s="29">
        <v>27</v>
      </c>
      <c r="F15" s="31">
        <v>5</v>
      </c>
      <c r="G15" s="30">
        <v>0</v>
      </c>
      <c r="H15" s="10"/>
      <c r="I15" s="10"/>
      <c r="J15" s="10"/>
      <c r="K15" s="10"/>
      <c r="L15" s="10"/>
      <c r="M15" s="11"/>
      <c r="N15" s="23"/>
    </row>
    <row r="16" spans="2:14" ht="24.95" customHeight="1">
      <c r="B16" s="32" t="s">
        <v>29</v>
      </c>
      <c r="C16" s="29">
        <v>0</v>
      </c>
      <c r="D16" s="29">
        <v>2</v>
      </c>
      <c r="E16" s="31">
        <v>0</v>
      </c>
      <c r="F16" s="29">
        <v>15</v>
      </c>
      <c r="G16" s="30">
        <v>2</v>
      </c>
      <c r="H16" s="10"/>
      <c r="I16" s="10"/>
      <c r="J16" s="10"/>
      <c r="K16" s="10"/>
      <c r="L16" s="10"/>
      <c r="M16" s="11"/>
      <c r="N16" s="23"/>
    </row>
    <row r="17" spans="2:14" ht="24.95" customHeight="1" thickBot="1">
      <c r="B17" s="33" t="s">
        <v>4</v>
      </c>
      <c r="C17" s="34">
        <v>5</v>
      </c>
      <c r="D17" s="34">
        <v>8</v>
      </c>
      <c r="E17" s="34">
        <v>6</v>
      </c>
      <c r="F17" s="34">
        <v>15</v>
      </c>
      <c r="G17" s="35">
        <v>52.5</v>
      </c>
      <c r="H17" s="10"/>
      <c r="I17" s="10"/>
      <c r="J17" s="10"/>
      <c r="K17" s="10"/>
      <c r="L17" s="10"/>
      <c r="M17" s="11"/>
      <c r="N17" s="23"/>
    </row>
    <row r="18" spans="2:14" ht="24.95" customHeight="1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23"/>
    </row>
    <row r="19" spans="2:14" ht="24.95" customHeight="1" thickBot="1">
      <c r="B19" s="6" t="s">
        <v>14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23"/>
    </row>
    <row r="20" spans="2:14" ht="24.95" customHeight="1" thickTop="1">
      <c r="B20" s="396" t="s">
        <v>33</v>
      </c>
      <c r="C20" s="391" t="s">
        <v>8</v>
      </c>
      <c r="D20" s="392"/>
      <c r="E20" s="392"/>
      <c r="F20" s="392"/>
      <c r="G20" s="392"/>
      <c r="H20" s="393"/>
      <c r="I20" s="36" t="s">
        <v>7</v>
      </c>
      <c r="J20" s="398" t="s">
        <v>0</v>
      </c>
      <c r="K20" s="400" t="s">
        <v>18</v>
      </c>
      <c r="L20" s="394" t="s">
        <v>2</v>
      </c>
      <c r="N20" s="49" t="s">
        <v>26</v>
      </c>
    </row>
    <row r="21" spans="2:14" ht="24.95" customHeight="1" thickBot="1">
      <c r="B21" s="403"/>
      <c r="C21" s="39" t="s">
        <v>3</v>
      </c>
      <c r="D21" s="40" t="s">
        <v>21</v>
      </c>
      <c r="E21" s="40" t="s">
        <v>22</v>
      </c>
      <c r="F21" s="40" t="s">
        <v>29</v>
      </c>
      <c r="G21" s="40" t="s">
        <v>4</v>
      </c>
      <c r="H21" s="41" t="s">
        <v>2</v>
      </c>
      <c r="I21" s="42" t="s">
        <v>23</v>
      </c>
      <c r="J21" s="399"/>
      <c r="K21" s="401"/>
      <c r="L21" s="395"/>
      <c r="N21" s="54" t="s">
        <v>25</v>
      </c>
    </row>
    <row r="22" spans="2:14" ht="24.95" customHeight="1" thickTop="1">
      <c r="B22" s="43" t="s">
        <v>5</v>
      </c>
      <c r="C22" s="44">
        <f>C13*$C$4/100</f>
        <v>17.5</v>
      </c>
      <c r="D22" s="45">
        <f>D13*$C$5/100</f>
        <v>200</v>
      </c>
      <c r="E22" s="45">
        <f>E13*$C$6/100</f>
        <v>0</v>
      </c>
      <c r="F22" s="45">
        <f>F13*$C$7/100</f>
        <v>0</v>
      </c>
      <c r="G22" s="45">
        <f>G13*$C$8/100</f>
        <v>0</v>
      </c>
      <c r="H22" s="46">
        <f t="shared" ref="H22:H27" si="0">SUM(C22:G22)</f>
        <v>217.5</v>
      </c>
      <c r="I22" s="46">
        <f t="shared" ref="I22:K26" si="1">D4</f>
        <v>200</v>
      </c>
      <c r="J22" s="47">
        <f t="shared" si="1"/>
        <v>150</v>
      </c>
      <c r="K22" s="47">
        <f t="shared" si="1"/>
        <v>0</v>
      </c>
      <c r="L22" s="94">
        <f>H22+J22+K22</f>
        <v>367.5</v>
      </c>
      <c r="M22" s="116"/>
      <c r="N22" s="117">
        <f>H22/I22</f>
        <v>1.0874999999999999</v>
      </c>
    </row>
    <row r="23" spans="2:14" ht="24.95" customHeight="1">
      <c r="B23" s="43" t="s">
        <v>19</v>
      </c>
      <c r="C23" s="51">
        <f>C14*$C$4/100</f>
        <v>24.5</v>
      </c>
      <c r="D23" s="52">
        <f>D14*$C$5/100</f>
        <v>300</v>
      </c>
      <c r="E23" s="52">
        <f>E14*$C$6/100</f>
        <v>125</v>
      </c>
      <c r="F23" s="52">
        <f>F14*$C$7/100</f>
        <v>300</v>
      </c>
      <c r="G23" s="52">
        <f>G14*$C$8/100</f>
        <v>200</v>
      </c>
      <c r="H23" s="53">
        <f t="shared" si="0"/>
        <v>949.5</v>
      </c>
      <c r="I23" s="53">
        <f t="shared" si="1"/>
        <v>900</v>
      </c>
      <c r="J23" s="47">
        <f t="shared" si="1"/>
        <v>800</v>
      </c>
      <c r="K23" s="47">
        <f t="shared" si="1"/>
        <v>300</v>
      </c>
      <c r="L23" s="95">
        <f>H23+J23+K23</f>
        <v>2049.5</v>
      </c>
      <c r="M23" s="116"/>
      <c r="N23" s="118">
        <f>H23/I23</f>
        <v>1.0549999999999999</v>
      </c>
    </row>
    <row r="24" spans="2:14" ht="24.95" customHeight="1">
      <c r="B24" s="43" t="s">
        <v>20</v>
      </c>
      <c r="C24" s="51">
        <f>C15*$C$4/100</f>
        <v>0</v>
      </c>
      <c r="D24" s="52">
        <f>D15*$C$5/100</f>
        <v>260</v>
      </c>
      <c r="E24" s="52">
        <f>E15*$C$6/100</f>
        <v>675</v>
      </c>
      <c r="F24" s="52">
        <f>F15*$C$7/100</f>
        <v>75</v>
      </c>
      <c r="G24" s="52">
        <f>G15*$C$8/100</f>
        <v>0</v>
      </c>
      <c r="H24" s="53">
        <f t="shared" si="0"/>
        <v>1010</v>
      </c>
      <c r="I24" s="53">
        <f t="shared" si="1"/>
        <v>1000</v>
      </c>
      <c r="J24" s="47">
        <f t="shared" si="1"/>
        <v>700</v>
      </c>
      <c r="K24" s="47">
        <f t="shared" si="1"/>
        <v>800</v>
      </c>
      <c r="L24" s="95">
        <f>H24+J24+K24</f>
        <v>2510</v>
      </c>
      <c r="M24" s="120"/>
      <c r="N24" s="118">
        <f>H24/I24</f>
        <v>1.01</v>
      </c>
    </row>
    <row r="25" spans="2:14" ht="24.95" customHeight="1">
      <c r="B25" s="43" t="s">
        <v>29</v>
      </c>
      <c r="C25" s="51">
        <f>C16*$C$4/100</f>
        <v>0</v>
      </c>
      <c r="D25" s="52">
        <f>D16*$C$5/100</f>
        <v>40</v>
      </c>
      <c r="E25" s="52">
        <f>E16*$C$6/100</f>
        <v>0</v>
      </c>
      <c r="F25" s="52">
        <f>F16*$C$7/100</f>
        <v>225</v>
      </c>
      <c r="G25" s="52">
        <f>G16*$C$8/100</f>
        <v>400</v>
      </c>
      <c r="H25" s="53">
        <f t="shared" si="0"/>
        <v>665</v>
      </c>
      <c r="I25" s="53">
        <f t="shared" si="1"/>
        <v>600</v>
      </c>
      <c r="J25" s="47">
        <f t="shared" si="1"/>
        <v>100</v>
      </c>
      <c r="K25" s="47">
        <f t="shared" si="1"/>
        <v>800</v>
      </c>
      <c r="L25" s="95">
        <f>H25+J25+K25</f>
        <v>1565</v>
      </c>
      <c r="M25" s="120"/>
      <c r="N25" s="118">
        <f>H25/I25</f>
        <v>1.1083333333333334</v>
      </c>
    </row>
    <row r="26" spans="2:14" ht="24.95" customHeight="1" thickBot="1">
      <c r="B26" s="43" t="s">
        <v>4</v>
      </c>
      <c r="C26" s="51">
        <f>C17*$C$4/100</f>
        <v>17.5</v>
      </c>
      <c r="D26" s="52">
        <f>D17*$C$5/100</f>
        <v>160</v>
      </c>
      <c r="E26" s="52">
        <f>E17*$C$6/100</f>
        <v>150</v>
      </c>
      <c r="F26" s="52">
        <f>F17*$C$7/100</f>
        <v>225</v>
      </c>
      <c r="G26" s="52">
        <f>G17*$C$8/100</f>
        <v>10500</v>
      </c>
      <c r="H26" s="53">
        <f t="shared" si="0"/>
        <v>11052.5</v>
      </c>
      <c r="I26" s="57">
        <f t="shared" si="1"/>
        <v>11250</v>
      </c>
      <c r="J26" s="47">
        <f t="shared" si="1"/>
        <v>8700</v>
      </c>
      <c r="K26" s="47">
        <f t="shared" si="1"/>
        <v>50</v>
      </c>
      <c r="L26" s="122">
        <f>H26+J26+K26</f>
        <v>19802.5</v>
      </c>
      <c r="M26" s="120"/>
      <c r="N26" s="119">
        <f>H26/I26</f>
        <v>0.98244444444444445</v>
      </c>
    </row>
    <row r="27" spans="2:14" ht="24.95" customHeight="1" thickTop="1" thickBot="1">
      <c r="B27" s="60" t="s">
        <v>2</v>
      </c>
      <c r="C27" s="51">
        <f>SUM(C22:C26)</f>
        <v>59.5</v>
      </c>
      <c r="D27" s="52">
        <f>SUM(D22:D26)</f>
        <v>960</v>
      </c>
      <c r="E27" s="52">
        <f>SUM(E22:E26)</f>
        <v>950</v>
      </c>
      <c r="F27" s="52">
        <f>SUM(F22:F26)</f>
        <v>825</v>
      </c>
      <c r="G27" s="52">
        <f>SUM(G22:G26)</f>
        <v>11100</v>
      </c>
      <c r="H27" s="53">
        <f t="shared" si="0"/>
        <v>13894.5</v>
      </c>
      <c r="I27" s="61"/>
      <c r="J27" s="62">
        <f>SUM(J22:J26)</f>
        <v>10450</v>
      </c>
      <c r="K27" s="63">
        <f>SUM(K22:K26)</f>
        <v>1950</v>
      </c>
      <c r="L27" s="121">
        <f>SUM(L22:L26)</f>
        <v>26294.5</v>
      </c>
      <c r="M27" s="11"/>
      <c r="N27" s="23"/>
    </row>
    <row r="28" spans="2:14" ht="24.95" customHeight="1" thickTop="1">
      <c r="B28" s="60" t="s">
        <v>28</v>
      </c>
      <c r="C28" s="51">
        <f t="shared" ref="C28:H28" si="2">C29-C27</f>
        <v>290.5</v>
      </c>
      <c r="D28" s="52">
        <f t="shared" si="2"/>
        <v>1040</v>
      </c>
      <c r="E28" s="52">
        <f t="shared" si="2"/>
        <v>1550</v>
      </c>
      <c r="F28" s="52">
        <f t="shared" si="2"/>
        <v>675</v>
      </c>
      <c r="G28" s="52">
        <f t="shared" si="2"/>
        <v>8900</v>
      </c>
      <c r="H28" s="65">
        <f t="shared" si="2"/>
        <v>12455.5</v>
      </c>
      <c r="I28" s="21"/>
      <c r="J28" s="52"/>
      <c r="K28" s="52"/>
      <c r="L28" s="52"/>
      <c r="M28" s="96" t="s">
        <v>27</v>
      </c>
      <c r="N28" s="97">
        <f>SUM(J27:K28)</f>
        <v>12400</v>
      </c>
    </row>
    <row r="29" spans="2:14" ht="24.95" customHeight="1" thickBot="1">
      <c r="B29" s="66" t="s">
        <v>10</v>
      </c>
      <c r="C29" s="67">
        <f>C4</f>
        <v>350</v>
      </c>
      <c r="D29" s="68">
        <f>C5</f>
        <v>2000</v>
      </c>
      <c r="E29" s="68">
        <f>C6</f>
        <v>2500</v>
      </c>
      <c r="F29" s="68">
        <f>C7</f>
        <v>1500</v>
      </c>
      <c r="G29" s="68">
        <f>C8</f>
        <v>20000</v>
      </c>
      <c r="H29" s="57">
        <f>SUM(C29:G29)</f>
        <v>26350</v>
      </c>
      <c r="I29" s="21"/>
      <c r="J29" s="52"/>
      <c r="K29" s="52"/>
      <c r="L29" s="52"/>
      <c r="M29" s="98" t="s">
        <v>11</v>
      </c>
      <c r="N29" s="99">
        <f>C28+D28+G28+F28+E28</f>
        <v>12455.5</v>
      </c>
    </row>
    <row r="30" spans="2:14" ht="24.95" customHeight="1" thickTop="1">
      <c r="I30" s="10"/>
      <c r="J30" s="10"/>
      <c r="K30" s="10"/>
      <c r="L30" s="10"/>
      <c r="M30" s="11"/>
      <c r="N30" s="23"/>
    </row>
    <row r="31" spans="2:14" ht="24.95" customHeight="1" thickBot="1">
      <c r="B31" s="7" t="s">
        <v>15</v>
      </c>
      <c r="C31" s="10" t="s">
        <v>38</v>
      </c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23"/>
    </row>
    <row r="32" spans="2:14" ht="24.95" customHeight="1" thickTop="1">
      <c r="B32" s="396" t="s">
        <v>33</v>
      </c>
      <c r="C32" s="391" t="s">
        <v>8</v>
      </c>
      <c r="D32" s="392"/>
      <c r="E32" s="392"/>
      <c r="F32" s="392"/>
      <c r="G32" s="392"/>
      <c r="H32" s="393"/>
      <c r="I32" s="36" t="s">
        <v>7</v>
      </c>
      <c r="J32" s="398" t="s">
        <v>0</v>
      </c>
      <c r="K32" s="400" t="s">
        <v>18</v>
      </c>
      <c r="L32" s="394" t="s">
        <v>2</v>
      </c>
      <c r="M32" s="37" t="s">
        <v>12</v>
      </c>
      <c r="N32" s="38">
        <f>SUM(J39:K39)</f>
        <v>12455.5</v>
      </c>
    </row>
    <row r="33" spans="2:14" ht="24.95" customHeight="1" thickBot="1">
      <c r="B33" s="397"/>
      <c r="C33" s="69" t="s">
        <v>3</v>
      </c>
      <c r="D33" s="70" t="s">
        <v>21</v>
      </c>
      <c r="E33" s="70" t="s">
        <v>22</v>
      </c>
      <c r="F33" s="70" t="s">
        <v>29</v>
      </c>
      <c r="G33" s="70" t="s">
        <v>4</v>
      </c>
      <c r="H33" s="71" t="s">
        <v>2</v>
      </c>
      <c r="I33" s="42" t="s">
        <v>23</v>
      </c>
      <c r="J33" s="399"/>
      <c r="K33" s="401"/>
      <c r="L33" s="402"/>
      <c r="M33" s="37" t="s">
        <v>11</v>
      </c>
      <c r="N33" s="38">
        <f>C40+D40+G40+F40+E40</f>
        <v>12473</v>
      </c>
    </row>
    <row r="34" spans="2:14" ht="24.95" customHeight="1" thickTop="1">
      <c r="B34" s="127" t="s">
        <v>5</v>
      </c>
      <c r="C34" s="149">
        <f>C22</f>
        <v>17.5</v>
      </c>
      <c r="D34" s="142">
        <f>D22-C22</f>
        <v>182.5</v>
      </c>
      <c r="E34" s="152">
        <f t="shared" ref="E34:F36" si="3">E22</f>
        <v>0</v>
      </c>
      <c r="F34" s="152">
        <f t="shared" si="3"/>
        <v>0</v>
      </c>
      <c r="G34" s="152">
        <f>G20*$C$8/100</f>
        <v>0</v>
      </c>
      <c r="H34" s="143">
        <f t="shared" ref="H34:H41" si="4">SUM(C34:G34)</f>
        <v>200</v>
      </c>
      <c r="I34" s="139">
        <f>Enoncé!I22</f>
        <v>200</v>
      </c>
      <c r="J34" s="47">
        <f t="shared" ref="J34:K36" si="5">J22</f>
        <v>150</v>
      </c>
      <c r="K34" s="47">
        <f t="shared" si="5"/>
        <v>0</v>
      </c>
      <c r="L34" s="48">
        <f>H34+J34+K34</f>
        <v>350</v>
      </c>
      <c r="M34" s="11"/>
      <c r="N34" s="11"/>
    </row>
    <row r="35" spans="2:14" ht="24.95" customHeight="1">
      <c r="B35" s="128" t="s">
        <v>19</v>
      </c>
      <c r="C35" s="150">
        <f>C23</f>
        <v>24.5</v>
      </c>
      <c r="D35" s="75">
        <f>D23</f>
        <v>300</v>
      </c>
      <c r="E35" s="21">
        <f t="shared" si="3"/>
        <v>125</v>
      </c>
      <c r="F35" s="52">
        <f t="shared" si="3"/>
        <v>300</v>
      </c>
      <c r="G35" s="52">
        <f>G23</f>
        <v>200</v>
      </c>
      <c r="H35" s="144">
        <f t="shared" si="4"/>
        <v>949.5</v>
      </c>
      <c r="I35" s="140">
        <f>I23</f>
        <v>900</v>
      </c>
      <c r="J35" s="100">
        <f>J23-5</f>
        <v>795</v>
      </c>
      <c r="K35" s="100">
        <f>K23-10</f>
        <v>290</v>
      </c>
      <c r="L35" s="48">
        <f>H35+J35+K35</f>
        <v>2034.5</v>
      </c>
      <c r="M35" s="11"/>
      <c r="N35" s="11"/>
    </row>
    <row r="36" spans="2:14" ht="24.95" customHeight="1">
      <c r="B36" s="128" t="s">
        <v>20</v>
      </c>
      <c r="C36" s="150">
        <f>C24</f>
        <v>0</v>
      </c>
      <c r="D36" s="77">
        <f>D24</f>
        <v>260</v>
      </c>
      <c r="E36" s="75">
        <f t="shared" si="3"/>
        <v>675</v>
      </c>
      <c r="F36" s="21">
        <f t="shared" si="3"/>
        <v>75</v>
      </c>
      <c r="G36" s="21">
        <f>G24</f>
        <v>0</v>
      </c>
      <c r="H36" s="144">
        <f t="shared" si="4"/>
        <v>1010</v>
      </c>
      <c r="I36" s="140">
        <f>I24</f>
        <v>1000</v>
      </c>
      <c r="J36" s="78">
        <f t="shared" si="5"/>
        <v>700</v>
      </c>
      <c r="K36" s="51">
        <f t="shared" si="5"/>
        <v>800</v>
      </c>
      <c r="L36" s="48">
        <f>H36+J36+K36</f>
        <v>2510</v>
      </c>
      <c r="M36" s="11"/>
      <c r="N36" s="11"/>
    </row>
    <row r="37" spans="2:14" ht="24.95" customHeight="1">
      <c r="B37" s="128" t="s">
        <v>29</v>
      </c>
      <c r="C37" s="150">
        <f>C25</f>
        <v>0</v>
      </c>
      <c r="D37" s="75">
        <f>D25</f>
        <v>40</v>
      </c>
      <c r="E37" s="75">
        <f t="shared" ref="E37:G38" si="6">E25</f>
        <v>0</v>
      </c>
      <c r="F37" s="75">
        <f t="shared" si="6"/>
        <v>225</v>
      </c>
      <c r="G37" s="75">
        <f t="shared" si="6"/>
        <v>400</v>
      </c>
      <c r="H37" s="144">
        <f t="shared" si="4"/>
        <v>665</v>
      </c>
      <c r="I37" s="140">
        <f>I25</f>
        <v>600</v>
      </c>
      <c r="J37" s="100">
        <f>J25-10</f>
        <v>90</v>
      </c>
      <c r="K37" s="100">
        <f>K25+15</f>
        <v>815</v>
      </c>
      <c r="L37" s="48">
        <f>H37+J37+K37</f>
        <v>1570</v>
      </c>
      <c r="M37" s="11"/>
      <c r="N37" s="11"/>
    </row>
    <row r="38" spans="2:14" ht="24.95" customHeight="1" thickBot="1">
      <c r="B38" s="128" t="s">
        <v>4</v>
      </c>
      <c r="C38" s="150">
        <f>C26</f>
        <v>17.5</v>
      </c>
      <c r="D38" s="75">
        <f>D26</f>
        <v>160</v>
      </c>
      <c r="E38" s="75">
        <f t="shared" si="6"/>
        <v>150</v>
      </c>
      <c r="F38" s="75">
        <f t="shared" si="6"/>
        <v>225</v>
      </c>
      <c r="G38" s="75">
        <f t="shared" si="6"/>
        <v>10500</v>
      </c>
      <c r="H38" s="144">
        <f t="shared" si="4"/>
        <v>11052.5</v>
      </c>
      <c r="I38" s="140">
        <f>I26</f>
        <v>11250</v>
      </c>
      <c r="J38" s="100">
        <f>J26+55.5</f>
        <v>8755.5</v>
      </c>
      <c r="K38" s="100">
        <f>K26+10</f>
        <v>60</v>
      </c>
      <c r="L38" s="48">
        <f>H38+J38+K38</f>
        <v>19868</v>
      </c>
      <c r="M38" s="11"/>
      <c r="N38" s="11"/>
    </row>
    <row r="39" spans="2:14" ht="24.95" customHeight="1" thickBot="1">
      <c r="B39" s="129" t="s">
        <v>44</v>
      </c>
      <c r="C39" s="150">
        <f>SUM(C34:C38)</f>
        <v>59.5</v>
      </c>
      <c r="D39" s="75">
        <f>SUM(D34:D38)</f>
        <v>942.5</v>
      </c>
      <c r="E39" s="75">
        <f>SUM(E34:E38)</f>
        <v>950</v>
      </c>
      <c r="F39" s="75">
        <f>SUM(F34:F38)</f>
        <v>825</v>
      </c>
      <c r="G39" s="75">
        <f>SUM(G34:G38)</f>
        <v>11100</v>
      </c>
      <c r="H39" s="144">
        <f t="shared" si="4"/>
        <v>13877</v>
      </c>
      <c r="I39" s="141">
        <f>I26</f>
        <v>11250</v>
      </c>
      <c r="J39" s="101">
        <f>SUM(J34:J38)</f>
        <v>10490.5</v>
      </c>
      <c r="K39" s="102">
        <f>SUM(K34:K38)</f>
        <v>1965</v>
      </c>
      <c r="L39" s="80">
        <f>SUM(L34:L38)</f>
        <v>26332.5</v>
      </c>
      <c r="M39" s="11"/>
      <c r="N39" s="11"/>
    </row>
    <row r="40" spans="2:14" ht="24.95" customHeight="1" thickTop="1">
      <c r="B40" s="129" t="s">
        <v>28</v>
      </c>
      <c r="C40" s="150">
        <f>C41-C39</f>
        <v>290.5</v>
      </c>
      <c r="D40" s="75">
        <f>D41-D39</f>
        <v>1057.5</v>
      </c>
      <c r="E40" s="75">
        <f>E41-E39</f>
        <v>1550</v>
      </c>
      <c r="F40" s="75">
        <f>F41-F39</f>
        <v>675</v>
      </c>
      <c r="G40" s="75">
        <f>G41-G39</f>
        <v>8900</v>
      </c>
      <c r="H40" s="144">
        <f t="shared" si="4"/>
        <v>12473</v>
      </c>
      <c r="I40" s="21"/>
      <c r="J40" s="81" t="s">
        <v>24</v>
      </c>
      <c r="K40" s="81" t="s">
        <v>24</v>
      </c>
      <c r="L40" s="81"/>
      <c r="M40" s="11"/>
      <c r="N40" s="11"/>
    </row>
    <row r="41" spans="2:14" ht="24.95" customHeight="1" thickBot="1">
      <c r="B41" s="130" t="s">
        <v>10</v>
      </c>
      <c r="C41" s="151">
        <f>C4</f>
        <v>350</v>
      </c>
      <c r="D41" s="145">
        <f>C5</f>
        <v>2000</v>
      </c>
      <c r="E41" s="145">
        <f>C6</f>
        <v>2500</v>
      </c>
      <c r="F41" s="145">
        <f>F29</f>
        <v>1500</v>
      </c>
      <c r="G41" s="145">
        <f>C8</f>
        <v>20000</v>
      </c>
      <c r="H41" s="146">
        <f t="shared" si="4"/>
        <v>26350</v>
      </c>
      <c r="I41" s="21"/>
      <c r="J41" s="83">
        <f>J39/J27*1-1</f>
        <v>3.8755980861244765E-3</v>
      </c>
      <c r="K41" s="83">
        <f>K39/K27*1-1</f>
        <v>7.692307692307665E-3</v>
      </c>
      <c r="L41" s="81"/>
      <c r="M41" s="11"/>
      <c r="N41" s="115"/>
    </row>
    <row r="42" spans="2:14" ht="24.95" customHeight="1" thickTop="1">
      <c r="B42" s="103" t="s">
        <v>30</v>
      </c>
      <c r="C42" s="93"/>
      <c r="D42" s="93"/>
      <c r="E42" s="132"/>
      <c r="I42" s="10"/>
      <c r="J42" s="10"/>
      <c r="K42" s="10"/>
      <c r="L42" s="10"/>
      <c r="M42" s="11"/>
      <c r="N42" s="11"/>
    </row>
    <row r="43" spans="2:14" ht="39" customHeight="1">
      <c r="B43" s="105" t="s">
        <v>39</v>
      </c>
      <c r="C43" s="93"/>
      <c r="D43" s="93"/>
      <c r="E43" s="106"/>
      <c r="I43" s="10"/>
      <c r="J43" s="10"/>
      <c r="K43" s="10"/>
      <c r="L43" s="10"/>
      <c r="M43" s="11"/>
      <c r="N43" s="11"/>
    </row>
    <row r="44" spans="2:14" ht="33.75" customHeight="1" thickBot="1">
      <c r="B44" s="107" t="s">
        <v>40</v>
      </c>
      <c r="C44" s="108"/>
      <c r="D44" s="108"/>
      <c r="E44" s="109"/>
    </row>
    <row r="45" spans="2:14" ht="13.5" thickTop="1"/>
    <row r="46" spans="2:14">
      <c r="J46" t="s">
        <v>46</v>
      </c>
    </row>
    <row r="49" spans="2:9" ht="15.75">
      <c r="B49" s="274"/>
      <c r="C49" s="274"/>
      <c r="D49" s="274"/>
      <c r="E49" s="274"/>
      <c r="F49" s="274"/>
      <c r="G49" s="274"/>
      <c r="H49" s="274"/>
      <c r="I49" s="274"/>
    </row>
  </sheetData>
  <mergeCells count="10">
    <mergeCell ref="C20:H20"/>
    <mergeCell ref="L20:L21"/>
    <mergeCell ref="B32:B33"/>
    <mergeCell ref="C32:H32"/>
    <mergeCell ref="J32:J33"/>
    <mergeCell ref="K32:K33"/>
    <mergeCell ref="L32:L33"/>
    <mergeCell ref="J20:J21"/>
    <mergeCell ref="K20:K21"/>
    <mergeCell ref="B20:B2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N44"/>
  <sheetViews>
    <sheetView topLeftCell="A30" workbookViewId="0">
      <selection activeCell="B31" sqref="B31:L43"/>
    </sheetView>
  </sheetViews>
  <sheetFormatPr baseColWidth="10" defaultColWidth="9.140625" defaultRowHeight="12.75"/>
  <cols>
    <col min="1" max="1" width="11.42578125" customWidth="1"/>
    <col min="2" max="2" width="14" customWidth="1"/>
    <col min="3" max="14" width="10.7109375" customWidth="1"/>
    <col min="15" max="15" width="7.5703125" customWidth="1"/>
    <col min="16" max="256" width="11.42578125" customWidth="1"/>
  </cols>
  <sheetData>
    <row r="1" spans="2:14" ht="13.5" thickBot="1"/>
    <row r="2" spans="2:14" ht="24.95" customHeight="1" thickTop="1" thickBot="1">
      <c r="B2" s="8"/>
      <c r="C2" s="87" t="s">
        <v>32</v>
      </c>
      <c r="D2" s="9"/>
      <c r="E2" s="9"/>
      <c r="F2" s="9" t="s">
        <v>17</v>
      </c>
      <c r="G2" s="9"/>
      <c r="H2" s="9"/>
      <c r="I2" s="88"/>
      <c r="J2" s="89"/>
      <c r="K2" s="10"/>
      <c r="L2" s="10"/>
      <c r="M2" s="11"/>
      <c r="N2" s="11"/>
    </row>
    <row r="3" spans="2:14" ht="24.95" customHeight="1">
      <c r="B3" s="12"/>
      <c r="C3" s="13" t="s">
        <v>6</v>
      </c>
      <c r="D3" s="13" t="s">
        <v>7</v>
      </c>
      <c r="E3" s="13" t="s">
        <v>0</v>
      </c>
      <c r="F3" s="13" t="s">
        <v>1</v>
      </c>
      <c r="G3" s="14"/>
      <c r="H3" s="15" t="s">
        <v>2</v>
      </c>
      <c r="I3" s="16"/>
      <c r="J3" s="10"/>
      <c r="K3" s="10"/>
      <c r="L3" s="10"/>
      <c r="M3" s="11"/>
      <c r="N3" s="11"/>
    </row>
    <row r="4" spans="2:14" ht="24.95" customHeight="1">
      <c r="B4" s="17" t="s">
        <v>5</v>
      </c>
      <c r="C4" s="18">
        <v>350</v>
      </c>
      <c r="D4" s="18">
        <v>200</v>
      </c>
      <c r="E4" s="18">
        <v>150</v>
      </c>
      <c r="F4" s="18"/>
      <c r="G4" s="19"/>
      <c r="H4" s="20">
        <f>SUM(D4:F4)</f>
        <v>350</v>
      </c>
      <c r="I4" s="21"/>
      <c r="J4" s="10"/>
      <c r="K4" s="10"/>
      <c r="L4" s="10"/>
      <c r="M4" s="22"/>
      <c r="N4" s="23"/>
    </row>
    <row r="5" spans="2:14" ht="24.95" customHeight="1">
      <c r="B5" s="17" t="s">
        <v>19</v>
      </c>
      <c r="C5" s="18">
        <v>2000</v>
      </c>
      <c r="D5" s="18">
        <v>900</v>
      </c>
      <c r="E5" s="18">
        <v>800</v>
      </c>
      <c r="F5" s="18">
        <v>300</v>
      </c>
      <c r="G5" s="19"/>
      <c r="H5" s="20">
        <f>SUM(D5:F5)</f>
        <v>2000</v>
      </c>
      <c r="I5" s="21"/>
      <c r="J5" s="10"/>
      <c r="K5" s="10"/>
      <c r="L5" s="10"/>
      <c r="M5" s="11"/>
      <c r="N5" s="23"/>
    </row>
    <row r="6" spans="2:14" ht="24.95" customHeight="1">
      <c r="B6" s="17" t="s">
        <v>20</v>
      </c>
      <c r="C6" s="18">
        <v>2500</v>
      </c>
      <c r="D6" s="18">
        <v>1000</v>
      </c>
      <c r="E6" s="18">
        <v>700</v>
      </c>
      <c r="F6" s="18">
        <v>800</v>
      </c>
      <c r="G6" s="19"/>
      <c r="H6" s="20">
        <f>SUM(D6:F6)</f>
        <v>2500</v>
      </c>
      <c r="I6" s="21"/>
      <c r="J6" s="10"/>
      <c r="K6" s="10"/>
      <c r="L6" s="10"/>
      <c r="M6" s="11"/>
      <c r="N6" s="23"/>
    </row>
    <row r="7" spans="2:14" ht="24.95" customHeight="1">
      <c r="B7" s="17" t="s">
        <v>29</v>
      </c>
      <c r="C7" s="18">
        <v>1500</v>
      </c>
      <c r="D7" s="18">
        <v>600</v>
      </c>
      <c r="E7" s="18">
        <v>100</v>
      </c>
      <c r="F7" s="18">
        <v>800</v>
      </c>
      <c r="G7" s="19"/>
      <c r="H7" s="20">
        <f>SUM(D7:F7)</f>
        <v>1500</v>
      </c>
      <c r="I7" s="21"/>
      <c r="J7" s="10"/>
      <c r="K7" s="10"/>
      <c r="L7" s="10"/>
      <c r="M7" s="11"/>
      <c r="N7" s="23"/>
    </row>
    <row r="8" spans="2:14" ht="24.95" customHeight="1">
      <c r="B8" s="12" t="s">
        <v>4</v>
      </c>
      <c r="C8" s="13">
        <v>20000</v>
      </c>
      <c r="D8" s="13">
        <f>C8-F8-E8</f>
        <v>11250</v>
      </c>
      <c r="E8" s="13">
        <v>8700</v>
      </c>
      <c r="F8" s="13">
        <v>50</v>
      </c>
      <c r="G8" s="19"/>
      <c r="H8" s="20">
        <f>SUM(D8:F8)</f>
        <v>20000</v>
      </c>
      <c r="I8" s="21"/>
      <c r="J8" s="10"/>
      <c r="K8" s="10"/>
      <c r="L8" s="10"/>
      <c r="M8" s="11"/>
      <c r="N8" s="23"/>
    </row>
    <row r="9" spans="2:14" ht="24.95" customHeight="1" thickBot="1">
      <c r="B9" s="24" t="s">
        <v>2</v>
      </c>
      <c r="C9" s="25">
        <f>SUM(C4:C8)</f>
        <v>26350</v>
      </c>
      <c r="D9" s="25">
        <f>SUM(D4:D8)</f>
        <v>13950</v>
      </c>
      <c r="E9" s="25">
        <f>SUM(E4:E8)</f>
        <v>10450</v>
      </c>
      <c r="F9" s="25">
        <f>SUM(F4:F8)</f>
        <v>1950</v>
      </c>
      <c r="G9" s="25"/>
      <c r="H9" s="25">
        <f>SUM(H4:H8)</f>
        <v>26350</v>
      </c>
      <c r="I9" s="26"/>
      <c r="J9" s="10"/>
      <c r="K9" s="10"/>
      <c r="L9" s="10"/>
      <c r="M9" s="11"/>
      <c r="N9" s="23"/>
    </row>
    <row r="10" spans="2:14" ht="24.95" customHeight="1" thickTop="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23"/>
    </row>
    <row r="11" spans="2:14" ht="24.95" customHeight="1" thickBot="1">
      <c r="B11" s="6" t="s">
        <v>13</v>
      </c>
      <c r="C11" s="6"/>
      <c r="D11" s="6"/>
      <c r="E11" s="6"/>
      <c r="F11" s="6"/>
      <c r="G11" s="6"/>
      <c r="H11" s="10"/>
      <c r="I11" s="10"/>
      <c r="J11" s="10"/>
      <c r="K11" s="10"/>
      <c r="L11" s="10"/>
      <c r="M11" s="11"/>
      <c r="N11" s="23"/>
    </row>
    <row r="12" spans="2:14" ht="24.95" customHeight="1" thickBot="1">
      <c r="B12" s="6"/>
      <c r="C12" s="84" t="s">
        <v>31</v>
      </c>
      <c r="D12" s="85" t="s">
        <v>21</v>
      </c>
      <c r="E12" s="85" t="s">
        <v>22</v>
      </c>
      <c r="F12" s="85" t="s">
        <v>29</v>
      </c>
      <c r="G12" s="86" t="s">
        <v>4</v>
      </c>
      <c r="H12" s="10"/>
      <c r="I12" s="10"/>
      <c r="J12" s="10"/>
      <c r="K12" s="10"/>
      <c r="L12" s="10"/>
      <c r="M12" s="11"/>
      <c r="N12" s="23"/>
    </row>
    <row r="13" spans="2:14" ht="24.95" customHeight="1">
      <c r="B13" s="27" t="s">
        <v>5</v>
      </c>
      <c r="C13" s="29">
        <v>5</v>
      </c>
      <c r="D13" s="29">
        <v>10</v>
      </c>
      <c r="E13" s="29">
        <v>0</v>
      </c>
      <c r="F13" s="31">
        <v>0</v>
      </c>
      <c r="G13" s="30"/>
      <c r="H13" s="10"/>
      <c r="I13" s="10"/>
      <c r="J13" s="10"/>
      <c r="K13" s="10"/>
      <c r="L13" s="10"/>
      <c r="M13" s="11"/>
      <c r="N13" s="23"/>
    </row>
    <row r="14" spans="2:14" ht="24.95" customHeight="1">
      <c r="B14" s="28" t="s">
        <v>19</v>
      </c>
      <c r="C14" s="29">
        <v>7</v>
      </c>
      <c r="D14" s="29">
        <v>15</v>
      </c>
      <c r="E14" s="29">
        <v>5</v>
      </c>
      <c r="F14" s="29">
        <v>20</v>
      </c>
      <c r="G14" s="30">
        <v>1</v>
      </c>
      <c r="H14" s="10"/>
      <c r="I14" s="10"/>
      <c r="J14" s="10"/>
      <c r="K14" s="10"/>
      <c r="L14" s="10"/>
      <c r="M14" s="11"/>
      <c r="N14" s="23"/>
    </row>
    <row r="15" spans="2:14" ht="24.95" customHeight="1">
      <c r="B15" s="28" t="s">
        <v>20</v>
      </c>
      <c r="C15" s="29">
        <v>0</v>
      </c>
      <c r="D15" s="29">
        <v>13</v>
      </c>
      <c r="E15" s="29">
        <v>27</v>
      </c>
      <c r="F15" s="31">
        <v>5</v>
      </c>
      <c r="G15" s="30">
        <v>0</v>
      </c>
      <c r="H15" s="10"/>
      <c r="I15" s="10"/>
      <c r="J15" s="10"/>
      <c r="K15" s="10"/>
      <c r="L15" s="10"/>
      <c r="M15" s="11"/>
      <c r="N15" s="23"/>
    </row>
    <row r="16" spans="2:14" ht="24.95" customHeight="1">
      <c r="B16" s="32" t="s">
        <v>29</v>
      </c>
      <c r="C16" s="29">
        <v>0</v>
      </c>
      <c r="D16" s="29">
        <v>2</v>
      </c>
      <c r="E16" s="31">
        <v>0</v>
      </c>
      <c r="F16" s="29">
        <v>15</v>
      </c>
      <c r="G16" s="30">
        <v>2</v>
      </c>
      <c r="H16" s="10"/>
      <c r="I16" s="10"/>
      <c r="J16" s="10"/>
      <c r="K16" s="10"/>
      <c r="L16" s="10"/>
      <c r="M16" s="11"/>
      <c r="N16" s="23"/>
    </row>
    <row r="17" spans="2:14" ht="24.95" customHeight="1" thickBot="1">
      <c r="B17" s="33" t="s">
        <v>4</v>
      </c>
      <c r="C17" s="34">
        <v>5</v>
      </c>
      <c r="D17" s="34">
        <v>8</v>
      </c>
      <c r="E17" s="34">
        <v>6</v>
      </c>
      <c r="F17" s="34">
        <v>15</v>
      </c>
      <c r="G17" s="35">
        <v>52.5</v>
      </c>
      <c r="H17" s="10"/>
      <c r="I17" s="10"/>
      <c r="J17" s="10"/>
      <c r="K17" s="10"/>
      <c r="L17" s="10"/>
      <c r="M17" s="11"/>
      <c r="N17" s="23"/>
    </row>
    <row r="18" spans="2:14" ht="24.95" customHeight="1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23"/>
    </row>
    <row r="19" spans="2:14" ht="24.95" customHeight="1" thickBot="1">
      <c r="B19" s="6" t="s">
        <v>14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23"/>
    </row>
    <row r="20" spans="2:14" ht="24.95" customHeight="1" thickTop="1">
      <c r="B20" s="396" t="s">
        <v>33</v>
      </c>
      <c r="C20" s="391" t="s">
        <v>8</v>
      </c>
      <c r="D20" s="392"/>
      <c r="E20" s="392"/>
      <c r="F20" s="392"/>
      <c r="G20" s="392"/>
      <c r="H20" s="393"/>
      <c r="I20" s="36" t="s">
        <v>7</v>
      </c>
      <c r="J20" s="398" t="s">
        <v>0</v>
      </c>
      <c r="K20" s="400" t="s">
        <v>18</v>
      </c>
      <c r="L20" s="394" t="s">
        <v>2</v>
      </c>
      <c r="M20" s="37" t="s">
        <v>27</v>
      </c>
      <c r="N20" s="38">
        <f>SUM(J27:K28)</f>
        <v>12400</v>
      </c>
    </row>
    <row r="21" spans="2:14" ht="24.95" customHeight="1" thickBot="1">
      <c r="B21" s="403"/>
      <c r="C21" s="39" t="s">
        <v>3</v>
      </c>
      <c r="D21" s="40" t="s">
        <v>21</v>
      </c>
      <c r="E21" s="40" t="s">
        <v>22</v>
      </c>
      <c r="F21" s="40" t="s">
        <v>29</v>
      </c>
      <c r="G21" s="40" t="s">
        <v>4</v>
      </c>
      <c r="H21" s="41" t="s">
        <v>2</v>
      </c>
      <c r="I21" s="42" t="s">
        <v>23</v>
      </c>
      <c r="J21" s="399"/>
      <c r="K21" s="401"/>
      <c r="L21" s="402"/>
      <c r="M21" s="37" t="s">
        <v>11</v>
      </c>
      <c r="N21" s="38">
        <f>C28+D28+G28+F28+E28</f>
        <v>12455.5</v>
      </c>
    </row>
    <row r="22" spans="2:14" ht="24.95" customHeight="1" thickTop="1">
      <c r="B22" s="43" t="s">
        <v>5</v>
      </c>
      <c r="C22" s="44">
        <f>C13*$C$4/100</f>
        <v>17.5</v>
      </c>
      <c r="D22" s="45">
        <f>D13*$C$5/100</f>
        <v>200</v>
      </c>
      <c r="E22" s="45">
        <f>E13*$C$6/100</f>
        <v>0</v>
      </c>
      <c r="F22" s="45">
        <f>F13*$C$7/100</f>
        <v>0</v>
      </c>
      <c r="G22" s="45">
        <f>G13*$C$8/100</f>
        <v>0</v>
      </c>
      <c r="H22" s="46">
        <f t="shared" ref="H22:H27" si="0">SUM(C22:G22)</f>
        <v>217.5</v>
      </c>
      <c r="I22" s="46">
        <f t="shared" ref="I22:K26" si="1">D4</f>
        <v>200</v>
      </c>
      <c r="J22" s="47">
        <f t="shared" si="1"/>
        <v>150</v>
      </c>
      <c r="K22" s="47">
        <f t="shared" si="1"/>
        <v>0</v>
      </c>
      <c r="L22" s="48">
        <f>H22+J22+K22</f>
        <v>367.5</v>
      </c>
      <c r="M22" s="49" t="s">
        <v>26</v>
      </c>
      <c r="N22" s="50">
        <f>H22/I22</f>
        <v>1.0874999999999999</v>
      </c>
    </row>
    <row r="23" spans="2:14" ht="24.95" customHeight="1">
      <c r="B23" s="43" t="s">
        <v>19</v>
      </c>
      <c r="C23" s="51">
        <f>C14*$C$4/100</f>
        <v>24.5</v>
      </c>
      <c r="D23" s="52">
        <f>D14*$C$5/100</f>
        <v>300</v>
      </c>
      <c r="E23" s="52">
        <f>E14*$C$6/100</f>
        <v>125</v>
      </c>
      <c r="F23" s="52">
        <f>F14*$C$7/100</f>
        <v>300</v>
      </c>
      <c r="G23" s="52">
        <f>G14*$C$8/100</f>
        <v>200</v>
      </c>
      <c r="H23" s="53">
        <f t="shared" si="0"/>
        <v>949.5</v>
      </c>
      <c r="I23" s="53">
        <f t="shared" si="1"/>
        <v>900</v>
      </c>
      <c r="J23" s="47">
        <f t="shared" si="1"/>
        <v>800</v>
      </c>
      <c r="K23" s="47">
        <f t="shared" si="1"/>
        <v>300</v>
      </c>
      <c r="L23" s="48">
        <f>H23+J23+K23</f>
        <v>2049.5</v>
      </c>
      <c r="M23" s="54" t="s">
        <v>25</v>
      </c>
      <c r="N23" s="55">
        <f>H23/I23</f>
        <v>1.0549999999999999</v>
      </c>
    </row>
    <row r="24" spans="2:14" ht="24.95" customHeight="1">
      <c r="B24" s="43" t="s">
        <v>20</v>
      </c>
      <c r="C24" s="51">
        <f>C15*$C$4/100</f>
        <v>0</v>
      </c>
      <c r="D24" s="52">
        <f>D15*$C$5/100</f>
        <v>260</v>
      </c>
      <c r="E24" s="52">
        <f>E15*$C$6/100</f>
        <v>675</v>
      </c>
      <c r="F24" s="52">
        <f>F15*$C$7/100</f>
        <v>75</v>
      </c>
      <c r="G24" s="52">
        <f>G15*$C$8/100</f>
        <v>0</v>
      </c>
      <c r="H24" s="53">
        <f t="shared" si="0"/>
        <v>1010</v>
      </c>
      <c r="I24" s="53">
        <f t="shared" si="1"/>
        <v>1000</v>
      </c>
      <c r="J24" s="47">
        <f t="shared" si="1"/>
        <v>700</v>
      </c>
      <c r="K24" s="47">
        <f t="shared" si="1"/>
        <v>800</v>
      </c>
      <c r="L24" s="48">
        <f>H24+J24+K24</f>
        <v>2510</v>
      </c>
      <c r="M24" s="56"/>
      <c r="N24" s="55">
        <f>H24/I24</f>
        <v>1.01</v>
      </c>
    </row>
    <row r="25" spans="2:14" ht="24.95" customHeight="1">
      <c r="B25" s="43" t="s">
        <v>29</v>
      </c>
      <c r="C25" s="51">
        <f>C16*$C$4/100</f>
        <v>0</v>
      </c>
      <c r="D25" s="52">
        <f>D16*$C$5/100</f>
        <v>40</v>
      </c>
      <c r="E25" s="52">
        <f>E16*$C$6/100</f>
        <v>0</v>
      </c>
      <c r="F25" s="52">
        <f>F16*$C$7/100</f>
        <v>225</v>
      </c>
      <c r="G25" s="52">
        <f>G16*$C$8/100</f>
        <v>400</v>
      </c>
      <c r="H25" s="53">
        <f t="shared" si="0"/>
        <v>665</v>
      </c>
      <c r="I25" s="53">
        <f t="shared" si="1"/>
        <v>600</v>
      </c>
      <c r="J25" s="47">
        <f t="shared" si="1"/>
        <v>100</v>
      </c>
      <c r="K25" s="47">
        <f t="shared" si="1"/>
        <v>800</v>
      </c>
      <c r="L25" s="48">
        <f>H25+J25+K25</f>
        <v>1565</v>
      </c>
      <c r="M25" s="56"/>
      <c r="N25" s="55">
        <f>H25/I25</f>
        <v>1.1083333333333334</v>
      </c>
    </row>
    <row r="26" spans="2:14" ht="24.95" customHeight="1" thickBot="1">
      <c r="B26" s="43" t="s">
        <v>4</v>
      </c>
      <c r="C26" s="51">
        <f>C17*$C$4/100</f>
        <v>17.5</v>
      </c>
      <c r="D26" s="52">
        <f>D17*$C$5/100</f>
        <v>160</v>
      </c>
      <c r="E26" s="52">
        <f>E17*$C$6/100</f>
        <v>150</v>
      </c>
      <c r="F26" s="52">
        <f>F17*$C$7/100</f>
        <v>225</v>
      </c>
      <c r="G26" s="52">
        <f>G17*$C$8/100</f>
        <v>10500</v>
      </c>
      <c r="H26" s="53">
        <f t="shared" si="0"/>
        <v>11052.5</v>
      </c>
      <c r="I26" s="57">
        <f t="shared" si="1"/>
        <v>11250</v>
      </c>
      <c r="J26" s="47">
        <f t="shared" si="1"/>
        <v>8700</v>
      </c>
      <c r="K26" s="47">
        <f t="shared" si="1"/>
        <v>50</v>
      </c>
      <c r="L26" s="48">
        <f>H26+J26+K26</f>
        <v>19802.5</v>
      </c>
      <c r="M26" s="58"/>
      <c r="N26" s="59">
        <f>H26/I26</f>
        <v>0.98244444444444445</v>
      </c>
    </row>
    <row r="27" spans="2:14" ht="24.95" customHeight="1" thickTop="1" thickBot="1">
      <c r="B27" s="60" t="s">
        <v>2</v>
      </c>
      <c r="C27" s="51">
        <f>SUM(C22:C26)</f>
        <v>59.5</v>
      </c>
      <c r="D27" s="52">
        <f>SUM(D22:D26)</f>
        <v>960</v>
      </c>
      <c r="E27" s="52">
        <f>SUM(E22:E26)</f>
        <v>950</v>
      </c>
      <c r="F27" s="52">
        <f>SUM(F22:F26)</f>
        <v>825</v>
      </c>
      <c r="G27" s="52">
        <f>SUM(G22:G26)</f>
        <v>11100</v>
      </c>
      <c r="H27" s="53">
        <f t="shared" si="0"/>
        <v>13894.5</v>
      </c>
      <c r="I27" s="61"/>
      <c r="J27" s="62">
        <f>SUM(J22:J26)</f>
        <v>10450</v>
      </c>
      <c r="K27" s="63">
        <f>SUM(K22:K26)</f>
        <v>1950</v>
      </c>
      <c r="L27" s="64">
        <f>SUM(L22:L26)</f>
        <v>26294.5</v>
      </c>
      <c r="M27" s="11"/>
      <c r="N27" s="23"/>
    </row>
    <row r="28" spans="2:14" ht="24.95" customHeight="1" thickTop="1">
      <c r="B28" s="60" t="s">
        <v>28</v>
      </c>
      <c r="C28" s="51">
        <f t="shared" ref="C28:H28" si="2">C29-C27</f>
        <v>290.5</v>
      </c>
      <c r="D28" s="52">
        <f t="shared" si="2"/>
        <v>1040</v>
      </c>
      <c r="E28" s="52">
        <f t="shared" si="2"/>
        <v>1550</v>
      </c>
      <c r="F28" s="52">
        <f t="shared" si="2"/>
        <v>675</v>
      </c>
      <c r="G28" s="52">
        <f t="shared" si="2"/>
        <v>8900</v>
      </c>
      <c r="H28" s="65">
        <f t="shared" si="2"/>
        <v>12455.5</v>
      </c>
      <c r="I28" s="21"/>
      <c r="J28" s="52"/>
      <c r="K28" s="52"/>
      <c r="L28" s="52"/>
      <c r="M28" s="11"/>
      <c r="N28" s="23"/>
    </row>
    <row r="29" spans="2:14" ht="24.95" customHeight="1" thickBot="1">
      <c r="B29" s="66" t="s">
        <v>10</v>
      </c>
      <c r="C29" s="67">
        <f>C4</f>
        <v>350</v>
      </c>
      <c r="D29" s="68">
        <f>C5</f>
        <v>2000</v>
      </c>
      <c r="E29" s="68">
        <f>C6</f>
        <v>2500</v>
      </c>
      <c r="F29" s="68">
        <f>C7</f>
        <v>1500</v>
      </c>
      <c r="G29" s="68">
        <f>C8</f>
        <v>20000</v>
      </c>
      <c r="H29" s="57">
        <f>SUM(C29:G29)</f>
        <v>26350</v>
      </c>
      <c r="I29" s="21"/>
      <c r="J29" s="52"/>
      <c r="K29" s="52"/>
      <c r="L29" s="52"/>
      <c r="M29" s="11"/>
      <c r="N29" s="23"/>
    </row>
    <row r="30" spans="2:14" ht="24.95" customHeight="1" thickTop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23"/>
    </row>
    <row r="31" spans="2:14" ht="24.95" customHeight="1" thickBot="1">
      <c r="B31" s="90" t="s">
        <v>15</v>
      </c>
      <c r="C31" s="91" t="s">
        <v>35</v>
      </c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23"/>
    </row>
    <row r="32" spans="2:14" ht="24.95" customHeight="1" thickTop="1">
      <c r="B32" s="396" t="s">
        <v>33</v>
      </c>
      <c r="C32" s="391" t="s">
        <v>8</v>
      </c>
      <c r="D32" s="392"/>
      <c r="E32" s="392"/>
      <c r="F32" s="392"/>
      <c r="G32" s="392"/>
      <c r="H32" s="393"/>
      <c r="I32" s="36" t="s">
        <v>7</v>
      </c>
      <c r="J32" s="398" t="s">
        <v>0</v>
      </c>
      <c r="K32" s="400" t="s">
        <v>18</v>
      </c>
      <c r="L32" s="394" t="s">
        <v>2</v>
      </c>
      <c r="M32" s="37" t="s">
        <v>12</v>
      </c>
      <c r="N32" s="38">
        <f>SUM(J39:K39)</f>
        <v>12455.5</v>
      </c>
    </row>
    <row r="33" spans="2:14" ht="24.95" customHeight="1" thickBot="1">
      <c r="B33" s="397"/>
      <c r="C33" s="69" t="s">
        <v>3</v>
      </c>
      <c r="D33" s="70" t="s">
        <v>21</v>
      </c>
      <c r="E33" s="70" t="s">
        <v>22</v>
      </c>
      <c r="F33" s="70" t="s">
        <v>29</v>
      </c>
      <c r="G33" s="70" t="s">
        <v>4</v>
      </c>
      <c r="H33" s="71" t="s">
        <v>2</v>
      </c>
      <c r="I33" s="42" t="s">
        <v>23</v>
      </c>
      <c r="J33" s="399"/>
      <c r="K33" s="401"/>
      <c r="L33" s="402"/>
      <c r="M33" s="37" t="s">
        <v>11</v>
      </c>
      <c r="N33" s="38">
        <f>H40</f>
        <v>12473</v>
      </c>
    </row>
    <row r="34" spans="2:14" ht="24.95" customHeight="1" thickTop="1">
      <c r="B34" s="127" t="s">
        <v>5</v>
      </c>
      <c r="C34" s="149">
        <f>C22</f>
        <v>17.5</v>
      </c>
      <c r="D34" s="152">
        <f>D22-C22</f>
        <v>182.5</v>
      </c>
      <c r="E34" s="152">
        <f>E22</f>
        <v>0</v>
      </c>
      <c r="F34" s="152">
        <f>F22</f>
        <v>0</v>
      </c>
      <c r="G34" s="152">
        <f>G20*$C$8/100</f>
        <v>0</v>
      </c>
      <c r="H34" s="133">
        <f>SUM(C34:G34)</f>
        <v>200</v>
      </c>
      <c r="I34" s="131">
        <f>Enoncé!I22</f>
        <v>200</v>
      </c>
      <c r="J34" s="47">
        <f>J22</f>
        <v>150</v>
      </c>
      <c r="K34" s="47">
        <f>K22</f>
        <v>0</v>
      </c>
      <c r="L34" s="48">
        <f>H34+J34+K34</f>
        <v>350</v>
      </c>
      <c r="M34" s="11"/>
      <c r="N34" s="11"/>
    </row>
    <row r="35" spans="2:14" ht="24.95" customHeight="1">
      <c r="B35" s="128" t="s">
        <v>19</v>
      </c>
      <c r="C35" s="150">
        <f>C23</f>
        <v>24.5</v>
      </c>
      <c r="D35" s="111">
        <f>D23-34.5</f>
        <v>265.5</v>
      </c>
      <c r="E35" s="21">
        <f>E23</f>
        <v>125</v>
      </c>
      <c r="F35" s="21">
        <f>F23</f>
        <v>300</v>
      </c>
      <c r="G35" s="21">
        <f>G23</f>
        <v>200</v>
      </c>
      <c r="H35" s="134">
        <f>SUM(C35:G35)</f>
        <v>915</v>
      </c>
      <c r="I35" s="53">
        <f>I23</f>
        <v>900</v>
      </c>
      <c r="J35" s="153">
        <f>J23-5</f>
        <v>795</v>
      </c>
      <c r="K35" s="153">
        <f>K23-10</f>
        <v>290</v>
      </c>
      <c r="L35" s="48">
        <f>H35+J35+K35</f>
        <v>2000</v>
      </c>
      <c r="M35" s="11"/>
      <c r="N35" s="11"/>
    </row>
    <row r="36" spans="2:14" ht="24.95" customHeight="1">
      <c r="B36" s="128" t="s">
        <v>20</v>
      </c>
      <c r="C36" s="150">
        <f>C24</f>
        <v>0</v>
      </c>
      <c r="D36" s="77">
        <f>D24</f>
        <v>260</v>
      </c>
      <c r="E36" s="52" t="s">
        <v>34</v>
      </c>
      <c r="F36" s="52" t="s">
        <v>34</v>
      </c>
      <c r="G36" s="52" t="s">
        <v>34</v>
      </c>
      <c r="H36" s="135" t="s">
        <v>34</v>
      </c>
      <c r="I36" s="53">
        <f>I24</f>
        <v>1000</v>
      </c>
      <c r="J36" s="113">
        <f>J24</f>
        <v>700</v>
      </c>
      <c r="K36" s="112">
        <f>K24</f>
        <v>800</v>
      </c>
      <c r="L36" s="48" t="s">
        <v>34</v>
      </c>
      <c r="M36" s="11"/>
      <c r="N36" s="11"/>
    </row>
    <row r="37" spans="2:14" ht="24.95" customHeight="1">
      <c r="B37" s="128" t="s">
        <v>29</v>
      </c>
      <c r="C37" s="150">
        <f>C25</f>
        <v>0</v>
      </c>
      <c r="D37" s="111">
        <f>D25+10</f>
        <v>50</v>
      </c>
      <c r="E37" s="52" t="s">
        <v>34</v>
      </c>
      <c r="F37" s="52" t="s">
        <v>34</v>
      </c>
      <c r="G37" s="52" t="s">
        <v>34</v>
      </c>
      <c r="H37" s="135" t="s">
        <v>34</v>
      </c>
      <c r="I37" s="53">
        <f>I25</f>
        <v>600</v>
      </c>
      <c r="J37" s="153">
        <f>J25-10</f>
        <v>90</v>
      </c>
      <c r="K37" s="153">
        <f>K25+5+10</f>
        <v>815</v>
      </c>
      <c r="L37" s="48" t="s">
        <v>34</v>
      </c>
      <c r="M37" s="11"/>
      <c r="N37" s="11"/>
    </row>
    <row r="38" spans="2:14" ht="24.95" customHeight="1" thickBot="1">
      <c r="B38" s="128" t="s">
        <v>4</v>
      </c>
      <c r="C38" s="150">
        <f>C26</f>
        <v>17.5</v>
      </c>
      <c r="D38" s="111">
        <f>D26+22+20</f>
        <v>202</v>
      </c>
      <c r="E38" s="52" t="s">
        <v>34</v>
      </c>
      <c r="F38" s="52" t="s">
        <v>34</v>
      </c>
      <c r="G38" s="52" t="s">
        <v>34</v>
      </c>
      <c r="H38" s="135" t="s">
        <v>34</v>
      </c>
      <c r="I38" s="53">
        <f>I26</f>
        <v>11250</v>
      </c>
      <c r="J38" s="153">
        <f>J26+100-9.5+50+50-100-15-30+10-20+20+5-10-5-5+10+5</f>
        <v>8755.5</v>
      </c>
      <c r="K38" s="153">
        <f>K26+10</f>
        <v>60</v>
      </c>
      <c r="L38" s="48" t="s">
        <v>34</v>
      </c>
      <c r="M38" s="11"/>
      <c r="N38" s="11"/>
    </row>
    <row r="39" spans="2:14" ht="24.95" customHeight="1" thickBot="1">
      <c r="B39" s="129" t="s">
        <v>44</v>
      </c>
      <c r="C39" s="150">
        <f>SUM(C34:C38)</f>
        <v>59.5</v>
      </c>
      <c r="D39" s="111">
        <f>SUM(D34:D38)</f>
        <v>960</v>
      </c>
      <c r="E39" s="52">
        <f>E27</f>
        <v>950</v>
      </c>
      <c r="F39" s="52">
        <f>F27</f>
        <v>825</v>
      </c>
      <c r="G39" s="52">
        <f>G27</f>
        <v>11100</v>
      </c>
      <c r="H39" s="135">
        <f>'arbitrage emplois finals et ag '!H39</f>
        <v>13877</v>
      </c>
      <c r="I39" s="148">
        <f>SUM(I34:I38)</f>
        <v>13950</v>
      </c>
      <c r="J39" s="154">
        <f>SUM(J34:J38)</f>
        <v>10490.5</v>
      </c>
      <c r="K39" s="155">
        <f>SUM(K34:K38)</f>
        <v>1965</v>
      </c>
      <c r="L39" s="114" t="s">
        <v>34</v>
      </c>
      <c r="M39" s="11"/>
      <c r="N39" s="11"/>
    </row>
    <row r="40" spans="2:14" ht="24.95" customHeight="1">
      <c r="B40" s="129" t="s">
        <v>28</v>
      </c>
      <c r="C40" s="150">
        <f t="shared" ref="C40:H40" si="3">C41-C39</f>
        <v>290.5</v>
      </c>
      <c r="D40" s="52">
        <f t="shared" si="3"/>
        <v>1040</v>
      </c>
      <c r="E40" s="52">
        <f t="shared" si="3"/>
        <v>1550</v>
      </c>
      <c r="F40" s="52">
        <f t="shared" si="3"/>
        <v>675</v>
      </c>
      <c r="G40" s="52">
        <f t="shared" si="3"/>
        <v>8900</v>
      </c>
      <c r="H40" s="136">
        <f t="shared" si="3"/>
        <v>12473</v>
      </c>
      <c r="J40" s="301" t="s">
        <v>51</v>
      </c>
      <c r="K40" s="302" t="s">
        <v>52</v>
      </c>
      <c r="L40" s="302">
        <f>J39+K39</f>
        <v>12455.5</v>
      </c>
      <c r="M40" s="11"/>
      <c r="N40" s="11"/>
    </row>
    <row r="41" spans="2:14" ht="24.95" customHeight="1" thickBot="1">
      <c r="B41" s="130" t="s">
        <v>10</v>
      </c>
      <c r="C41" s="151">
        <f>C4</f>
        <v>350</v>
      </c>
      <c r="D41" s="137">
        <f>C5</f>
        <v>2000</v>
      </c>
      <c r="E41" s="137">
        <f>C6</f>
        <v>2500</v>
      </c>
      <c r="F41" s="137">
        <f>F29</f>
        <v>1500</v>
      </c>
      <c r="G41" s="137">
        <f>C8</f>
        <v>20000</v>
      </c>
      <c r="H41" s="138">
        <f>SUM(C41:G41)</f>
        <v>26350</v>
      </c>
      <c r="J41" s="301" t="s">
        <v>9</v>
      </c>
      <c r="K41" s="302" t="s">
        <v>55</v>
      </c>
      <c r="L41" s="302">
        <f>H40</f>
        <v>12473</v>
      </c>
      <c r="M41" s="11"/>
      <c r="N41" s="11"/>
    </row>
    <row r="42" spans="2:14" ht="16.5" thickTop="1">
      <c r="B42" s="103" t="s">
        <v>30</v>
      </c>
      <c r="C42" s="93"/>
      <c r="D42" s="93"/>
      <c r="E42" s="132"/>
    </row>
    <row r="43" spans="2:14" ht="32.25" thickBot="1">
      <c r="B43" s="107" t="s">
        <v>39</v>
      </c>
      <c r="C43" s="108"/>
      <c r="D43" s="108"/>
      <c r="E43" s="109"/>
    </row>
    <row r="44" spans="2:14" ht="13.5" thickTop="1"/>
  </sheetData>
  <mergeCells count="10">
    <mergeCell ref="C20:H20"/>
    <mergeCell ref="L20:L21"/>
    <mergeCell ref="B32:B33"/>
    <mergeCell ref="C32:H32"/>
    <mergeCell ref="J32:J33"/>
    <mergeCell ref="K32:K33"/>
    <mergeCell ref="L32:L33"/>
    <mergeCell ref="J20:J21"/>
    <mergeCell ref="K20:K21"/>
    <mergeCell ref="B20:B2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Q44"/>
  <sheetViews>
    <sheetView topLeftCell="A30" workbookViewId="0">
      <selection activeCell="B35" sqref="B35"/>
    </sheetView>
  </sheetViews>
  <sheetFormatPr baseColWidth="10" defaultColWidth="9.140625" defaultRowHeight="12.75"/>
  <cols>
    <col min="1" max="1" width="11.42578125" customWidth="1"/>
    <col min="2" max="2" width="14" customWidth="1"/>
    <col min="3" max="14" width="10.7109375" customWidth="1"/>
    <col min="15" max="15" width="2" customWidth="1"/>
    <col min="16" max="256" width="11.42578125" customWidth="1"/>
  </cols>
  <sheetData>
    <row r="1" spans="2:17" ht="13.5" thickBot="1"/>
    <row r="2" spans="2:17" ht="24.95" customHeight="1" thickTop="1" thickBot="1">
      <c r="B2" s="8"/>
      <c r="C2" s="87" t="s">
        <v>32</v>
      </c>
      <c r="D2" s="9"/>
      <c r="E2" s="9"/>
      <c r="F2" s="9" t="s">
        <v>17</v>
      </c>
      <c r="G2" s="9"/>
      <c r="H2" s="9"/>
      <c r="I2" s="88"/>
      <c r="J2" s="89"/>
      <c r="K2" s="10"/>
      <c r="L2" s="10"/>
      <c r="M2" s="11"/>
      <c r="N2" s="11"/>
      <c r="P2" s="3" t="s">
        <v>16</v>
      </c>
      <c r="Q2" s="4"/>
    </row>
    <row r="3" spans="2:17" ht="24.95" customHeight="1">
      <c r="B3" s="12"/>
      <c r="C3" s="13" t="s">
        <v>6</v>
      </c>
      <c r="D3" s="13" t="s">
        <v>7</v>
      </c>
      <c r="E3" s="13" t="s">
        <v>0</v>
      </c>
      <c r="F3" s="13" t="s">
        <v>1</v>
      </c>
      <c r="G3" s="14"/>
      <c r="H3" s="15" t="s">
        <v>2</v>
      </c>
      <c r="I3" s="16"/>
      <c r="J3" s="10"/>
      <c r="K3" s="10"/>
      <c r="L3" s="10"/>
      <c r="M3" s="11"/>
      <c r="N3" s="11"/>
      <c r="P3" s="1" t="s">
        <v>9</v>
      </c>
      <c r="Q3" s="2">
        <f>SUM(E4:F8)</f>
        <v>12400</v>
      </c>
    </row>
    <row r="4" spans="2:17" ht="24.95" customHeight="1">
      <c r="B4" s="17" t="s">
        <v>5</v>
      </c>
      <c r="C4" s="18">
        <v>350</v>
      </c>
      <c r="D4" s="18">
        <v>200</v>
      </c>
      <c r="E4" s="18">
        <v>150</v>
      </c>
      <c r="F4" s="18"/>
      <c r="G4" s="19"/>
      <c r="H4" s="20">
        <f>SUM(D4:F4)</f>
        <v>350</v>
      </c>
      <c r="I4" s="21"/>
      <c r="J4" s="10"/>
      <c r="K4" s="10"/>
      <c r="L4" s="10"/>
      <c r="M4" s="22"/>
      <c r="N4" s="23"/>
    </row>
    <row r="5" spans="2:17" ht="24.95" customHeight="1">
      <c r="B5" s="17" t="s">
        <v>19</v>
      </c>
      <c r="C5" s="18">
        <v>2000</v>
      </c>
      <c r="D5" s="18">
        <v>900</v>
      </c>
      <c r="E5" s="18">
        <v>800</v>
      </c>
      <c r="F5" s="18">
        <v>300</v>
      </c>
      <c r="G5" s="19"/>
      <c r="H5" s="20">
        <f>SUM(D5:F5)</f>
        <v>2000</v>
      </c>
      <c r="I5" s="21"/>
      <c r="J5" s="10"/>
      <c r="K5" s="10"/>
      <c r="L5" s="10"/>
      <c r="M5" s="11"/>
      <c r="N5" s="23"/>
    </row>
    <row r="6" spans="2:17" ht="24.95" customHeight="1">
      <c r="B6" s="17" t="s">
        <v>20</v>
      </c>
      <c r="C6" s="18">
        <v>2500</v>
      </c>
      <c r="D6" s="18">
        <v>1000</v>
      </c>
      <c r="E6" s="18">
        <v>700</v>
      </c>
      <c r="F6" s="18">
        <v>800</v>
      </c>
      <c r="G6" s="19"/>
      <c r="H6" s="20">
        <f>SUM(D6:F6)</f>
        <v>2500</v>
      </c>
      <c r="I6" s="21"/>
      <c r="J6" s="10"/>
      <c r="K6" s="10"/>
      <c r="L6" s="10"/>
      <c r="M6" s="11"/>
      <c r="N6" s="23"/>
    </row>
    <row r="7" spans="2:17" ht="24.95" customHeight="1">
      <c r="B7" s="17" t="s">
        <v>29</v>
      </c>
      <c r="C7" s="18">
        <v>1500</v>
      </c>
      <c r="D7" s="18">
        <v>600</v>
      </c>
      <c r="E7" s="18">
        <v>100</v>
      </c>
      <c r="F7" s="18">
        <v>800</v>
      </c>
      <c r="G7" s="19"/>
      <c r="H7" s="20">
        <f>SUM(D7:F7)</f>
        <v>1500</v>
      </c>
      <c r="I7" s="21"/>
      <c r="J7" s="10"/>
      <c r="K7" s="10"/>
      <c r="L7" s="10"/>
      <c r="M7" s="11"/>
      <c r="N7" s="23"/>
    </row>
    <row r="8" spans="2:17" ht="24.95" customHeight="1">
      <c r="B8" s="12" t="s">
        <v>4</v>
      </c>
      <c r="C8" s="13">
        <v>20000</v>
      </c>
      <c r="D8" s="13">
        <f>C8-F8-E8</f>
        <v>11250</v>
      </c>
      <c r="E8" s="13">
        <v>8700</v>
      </c>
      <c r="F8" s="13">
        <v>50</v>
      </c>
      <c r="G8" s="19"/>
      <c r="H8" s="20">
        <f>SUM(D8:F8)</f>
        <v>20000</v>
      </c>
      <c r="I8" s="21"/>
      <c r="J8" s="10"/>
      <c r="K8" s="10"/>
      <c r="L8" s="10"/>
      <c r="M8" s="11"/>
      <c r="N8" s="23"/>
    </row>
    <row r="9" spans="2:17" ht="24.95" customHeight="1" thickBot="1">
      <c r="B9" s="24" t="s">
        <v>2</v>
      </c>
      <c r="C9" s="25">
        <f>SUM(C4:C8)</f>
        <v>26350</v>
      </c>
      <c r="D9" s="25">
        <f>SUM(D4:D8)</f>
        <v>13950</v>
      </c>
      <c r="E9" s="25">
        <f>SUM(E4:E8)</f>
        <v>10450</v>
      </c>
      <c r="F9" s="25">
        <f>SUM(F4:F8)</f>
        <v>1950</v>
      </c>
      <c r="G9" s="25"/>
      <c r="H9" s="25">
        <f>SUM(H4:H8)</f>
        <v>26350</v>
      </c>
      <c r="I9" s="26"/>
      <c r="J9" s="10"/>
      <c r="K9" s="10"/>
      <c r="L9" s="10"/>
      <c r="M9" s="11"/>
      <c r="N9" s="23"/>
    </row>
    <row r="10" spans="2:17" ht="24.95" customHeight="1" thickTop="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23"/>
    </row>
    <row r="11" spans="2:17" ht="24.95" customHeight="1" thickBot="1">
      <c r="B11" s="6" t="s">
        <v>13</v>
      </c>
      <c r="C11" s="6"/>
      <c r="D11" s="6"/>
      <c r="E11" s="6"/>
      <c r="F11" s="6"/>
      <c r="G11" s="6"/>
      <c r="H11" s="10"/>
      <c r="I11" s="10"/>
      <c r="J11" s="10"/>
      <c r="K11" s="10"/>
      <c r="L11" s="10"/>
      <c r="M11" s="11"/>
      <c r="N11" s="23"/>
    </row>
    <row r="12" spans="2:17" ht="24.95" customHeight="1" thickBot="1">
      <c r="B12" s="6"/>
      <c r="C12" s="84" t="s">
        <v>31</v>
      </c>
      <c r="D12" s="85" t="s">
        <v>21</v>
      </c>
      <c r="E12" s="85" t="s">
        <v>22</v>
      </c>
      <c r="F12" s="85" t="s">
        <v>29</v>
      </c>
      <c r="G12" s="86" t="s">
        <v>4</v>
      </c>
      <c r="H12" s="10"/>
      <c r="I12" s="10"/>
      <c r="J12" s="10"/>
      <c r="K12" s="10"/>
      <c r="L12" s="10"/>
      <c r="M12" s="11"/>
      <c r="N12" s="23"/>
    </row>
    <row r="13" spans="2:17" ht="24.95" customHeight="1">
      <c r="B13" s="27" t="s">
        <v>5</v>
      </c>
      <c r="C13" s="29">
        <v>5</v>
      </c>
      <c r="D13" s="29">
        <v>10</v>
      </c>
      <c r="E13" s="29">
        <v>0</v>
      </c>
      <c r="F13" s="31">
        <v>0</v>
      </c>
      <c r="G13" s="30"/>
      <c r="H13" s="10"/>
      <c r="I13" s="10"/>
      <c r="J13" s="10"/>
      <c r="K13" s="10"/>
      <c r="L13" s="10"/>
      <c r="M13" s="11"/>
      <c r="N13" s="23"/>
    </row>
    <row r="14" spans="2:17" ht="24.95" customHeight="1">
      <c r="B14" s="28" t="s">
        <v>19</v>
      </c>
      <c r="C14" s="29">
        <v>7</v>
      </c>
      <c r="D14" s="29">
        <v>15</v>
      </c>
      <c r="E14" s="29">
        <v>5</v>
      </c>
      <c r="F14" s="29">
        <v>20</v>
      </c>
      <c r="G14" s="30">
        <v>1</v>
      </c>
      <c r="H14" s="10"/>
      <c r="I14" s="10"/>
      <c r="J14" s="10"/>
      <c r="K14" s="10"/>
      <c r="L14" s="10"/>
      <c r="M14" s="11"/>
      <c r="N14" s="23"/>
    </row>
    <row r="15" spans="2:17" ht="24.95" customHeight="1">
      <c r="B15" s="28" t="s">
        <v>20</v>
      </c>
      <c r="C15" s="29">
        <v>0</v>
      </c>
      <c r="D15" s="29">
        <v>13</v>
      </c>
      <c r="E15" s="29">
        <v>27</v>
      </c>
      <c r="F15" s="31">
        <v>5</v>
      </c>
      <c r="G15" s="30">
        <v>0</v>
      </c>
      <c r="H15" s="10"/>
      <c r="I15" s="10"/>
      <c r="J15" s="10"/>
      <c r="K15" s="10"/>
      <c r="L15" s="10"/>
      <c r="M15" s="11"/>
      <c r="N15" s="23"/>
    </row>
    <row r="16" spans="2:17" ht="24.95" customHeight="1">
      <c r="B16" s="32" t="s">
        <v>29</v>
      </c>
      <c r="C16" s="29">
        <v>0</v>
      </c>
      <c r="D16" s="29">
        <v>2</v>
      </c>
      <c r="E16" s="31">
        <v>0</v>
      </c>
      <c r="F16" s="29">
        <v>15</v>
      </c>
      <c r="G16" s="30">
        <v>2</v>
      </c>
      <c r="H16" s="10"/>
      <c r="I16" s="10"/>
      <c r="J16" s="10"/>
      <c r="K16" s="10"/>
      <c r="L16" s="10"/>
      <c r="M16" s="11"/>
      <c r="N16" s="23"/>
    </row>
    <row r="17" spans="2:16" ht="24.95" customHeight="1" thickBot="1">
      <c r="B17" s="33" t="s">
        <v>4</v>
      </c>
      <c r="C17" s="34">
        <v>5</v>
      </c>
      <c r="D17" s="34">
        <v>8</v>
      </c>
      <c r="E17" s="34">
        <v>6</v>
      </c>
      <c r="F17" s="34">
        <v>15</v>
      </c>
      <c r="G17" s="35">
        <v>52.5</v>
      </c>
      <c r="H17" s="10"/>
      <c r="I17" s="10"/>
      <c r="J17" s="10"/>
      <c r="K17" s="10"/>
      <c r="L17" s="10"/>
      <c r="M17" s="11"/>
      <c r="N17" s="23"/>
    </row>
    <row r="18" spans="2:16" ht="24.95" customHeight="1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23"/>
    </row>
    <row r="19" spans="2:16" ht="24.95" customHeight="1" thickBot="1">
      <c r="B19" s="6" t="s">
        <v>14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23"/>
    </row>
    <row r="20" spans="2:16" ht="24.95" customHeight="1" thickTop="1">
      <c r="B20" s="396" t="s">
        <v>33</v>
      </c>
      <c r="C20" s="391" t="s">
        <v>8</v>
      </c>
      <c r="D20" s="392"/>
      <c r="E20" s="392"/>
      <c r="F20" s="392"/>
      <c r="G20" s="392"/>
      <c r="H20" s="393"/>
      <c r="I20" s="36" t="s">
        <v>7</v>
      </c>
      <c r="J20" s="398" t="s">
        <v>0</v>
      </c>
      <c r="K20" s="400" t="s">
        <v>18</v>
      </c>
      <c r="L20" s="394" t="s">
        <v>2</v>
      </c>
      <c r="M20" s="37" t="s">
        <v>27</v>
      </c>
      <c r="N20" s="38">
        <f>SUM(J27:K28)</f>
        <v>12400</v>
      </c>
    </row>
    <row r="21" spans="2:16" ht="24.95" customHeight="1" thickBot="1">
      <c r="B21" s="403"/>
      <c r="C21" s="39" t="s">
        <v>3</v>
      </c>
      <c r="D21" s="40" t="s">
        <v>21</v>
      </c>
      <c r="E21" s="40" t="s">
        <v>22</v>
      </c>
      <c r="F21" s="40" t="s">
        <v>29</v>
      </c>
      <c r="G21" s="40" t="s">
        <v>4</v>
      </c>
      <c r="H21" s="41" t="s">
        <v>2</v>
      </c>
      <c r="I21" s="42" t="s">
        <v>23</v>
      </c>
      <c r="J21" s="399"/>
      <c r="K21" s="401"/>
      <c r="L21" s="402"/>
      <c r="M21" s="37" t="s">
        <v>11</v>
      </c>
      <c r="N21" s="38">
        <f>C28+D28+G28+F28+E28</f>
        <v>12455.5</v>
      </c>
    </row>
    <row r="22" spans="2:16" ht="24.95" customHeight="1" thickTop="1">
      <c r="B22" s="43" t="s">
        <v>5</v>
      </c>
      <c r="C22" s="44">
        <f>C13*$C$4/100</f>
        <v>17.5</v>
      </c>
      <c r="D22" s="45">
        <f>D13*$C$5/100</f>
        <v>200</v>
      </c>
      <c r="E22" s="45">
        <f>E13*$C$6/100</f>
        <v>0</v>
      </c>
      <c r="F22" s="45">
        <f>F13*$C$7/100</f>
        <v>0</v>
      </c>
      <c r="G22" s="45">
        <f>G13*$C$8/100</f>
        <v>0</v>
      </c>
      <c r="H22" s="46">
        <f t="shared" ref="H22:H27" si="0">SUM(C22:G22)</f>
        <v>217.5</v>
      </c>
      <c r="I22" s="46">
        <f t="shared" ref="I22:K26" si="1">D4</f>
        <v>200</v>
      </c>
      <c r="J22" s="47">
        <f t="shared" si="1"/>
        <v>150</v>
      </c>
      <c r="K22" s="47">
        <f t="shared" si="1"/>
        <v>0</v>
      </c>
      <c r="L22" s="48">
        <f>H22+J22+K22</f>
        <v>367.5</v>
      </c>
      <c r="M22" s="49" t="s">
        <v>26</v>
      </c>
      <c r="N22" s="50">
        <f>H22/I22</f>
        <v>1.0874999999999999</v>
      </c>
    </row>
    <row r="23" spans="2:16" ht="24.95" customHeight="1">
      <c r="B23" s="43" t="s">
        <v>19</v>
      </c>
      <c r="C23" s="51">
        <f>C14*$C$4/100</f>
        <v>24.5</v>
      </c>
      <c r="D23" s="52">
        <f>D14*$C$5/100</f>
        <v>300</v>
      </c>
      <c r="E23" s="52">
        <f>E14*$C$6/100</f>
        <v>125</v>
      </c>
      <c r="F23" s="52">
        <f>F14*$C$7/100</f>
        <v>300</v>
      </c>
      <c r="G23" s="52">
        <f>G14*$C$8/100</f>
        <v>200</v>
      </c>
      <c r="H23" s="53">
        <f t="shared" si="0"/>
        <v>949.5</v>
      </c>
      <c r="I23" s="53">
        <f t="shared" si="1"/>
        <v>900</v>
      </c>
      <c r="J23" s="47">
        <f t="shared" si="1"/>
        <v>800</v>
      </c>
      <c r="K23" s="47">
        <f t="shared" si="1"/>
        <v>300</v>
      </c>
      <c r="L23" s="48">
        <f>H23+J23+K23</f>
        <v>2049.5</v>
      </c>
      <c r="M23" s="54" t="s">
        <v>25</v>
      </c>
      <c r="N23" s="55">
        <f>H23/I23</f>
        <v>1.0549999999999999</v>
      </c>
    </row>
    <row r="24" spans="2:16" ht="24.95" customHeight="1">
      <c r="B24" s="43" t="s">
        <v>20</v>
      </c>
      <c r="C24" s="51">
        <f>C15*$C$4/100</f>
        <v>0</v>
      </c>
      <c r="D24" s="52">
        <f>D15*$C$5/100</f>
        <v>260</v>
      </c>
      <c r="E24" s="52">
        <f>E15*$C$6/100</f>
        <v>675</v>
      </c>
      <c r="F24" s="52">
        <f>F15*$C$7/100</f>
        <v>75</v>
      </c>
      <c r="G24" s="52">
        <f>G15*$C$8/100</f>
        <v>0</v>
      </c>
      <c r="H24" s="53">
        <f t="shared" si="0"/>
        <v>1010</v>
      </c>
      <c r="I24" s="53">
        <f t="shared" si="1"/>
        <v>1000</v>
      </c>
      <c r="J24" s="47">
        <f t="shared" si="1"/>
        <v>700</v>
      </c>
      <c r="K24" s="47">
        <f t="shared" si="1"/>
        <v>800</v>
      </c>
      <c r="L24" s="48">
        <f>H24+J24+K24</f>
        <v>2510</v>
      </c>
      <c r="M24" s="56"/>
      <c r="N24" s="55">
        <f>H24/I24</f>
        <v>1.01</v>
      </c>
    </row>
    <row r="25" spans="2:16" ht="24.95" customHeight="1">
      <c r="B25" s="43" t="s">
        <v>29</v>
      </c>
      <c r="C25" s="51">
        <f>C16*$C$4/100</f>
        <v>0</v>
      </c>
      <c r="D25" s="52">
        <f>D16*$C$5/100</f>
        <v>40</v>
      </c>
      <c r="E25" s="52">
        <f>E16*$C$6/100</f>
        <v>0</v>
      </c>
      <c r="F25" s="52">
        <f>F16*$C$7/100</f>
        <v>225</v>
      </c>
      <c r="G25" s="52">
        <f>G16*$C$8/100</f>
        <v>400</v>
      </c>
      <c r="H25" s="53">
        <f t="shared" si="0"/>
        <v>665</v>
      </c>
      <c r="I25" s="53">
        <f t="shared" si="1"/>
        <v>600</v>
      </c>
      <c r="J25" s="47">
        <f t="shared" si="1"/>
        <v>100</v>
      </c>
      <c r="K25" s="47">
        <f t="shared" si="1"/>
        <v>800</v>
      </c>
      <c r="L25" s="48">
        <f>H25+J25+K25</f>
        <v>1565</v>
      </c>
      <c r="M25" s="56"/>
      <c r="N25" s="55">
        <f>H25/I25</f>
        <v>1.1083333333333334</v>
      </c>
    </row>
    <row r="26" spans="2:16" ht="24.95" customHeight="1" thickBot="1">
      <c r="B26" s="43" t="s">
        <v>4</v>
      </c>
      <c r="C26" s="51">
        <f>C17*$C$4/100</f>
        <v>17.5</v>
      </c>
      <c r="D26" s="52">
        <f>D17*$C$5/100</f>
        <v>160</v>
      </c>
      <c r="E26" s="52">
        <f>E17*$C$6/100</f>
        <v>150</v>
      </c>
      <c r="F26" s="52">
        <f>F17*$C$7/100</f>
        <v>225</v>
      </c>
      <c r="G26" s="52">
        <f>G17*$C$8/100</f>
        <v>10500</v>
      </c>
      <c r="H26" s="53">
        <f t="shared" si="0"/>
        <v>11052.5</v>
      </c>
      <c r="I26" s="57">
        <f t="shared" si="1"/>
        <v>11250</v>
      </c>
      <c r="J26" s="47">
        <f t="shared" si="1"/>
        <v>8700</v>
      </c>
      <c r="K26" s="47">
        <f t="shared" si="1"/>
        <v>50</v>
      </c>
      <c r="L26" s="48">
        <f>H26+J26+K26</f>
        <v>19802.5</v>
      </c>
      <c r="M26" s="58"/>
      <c r="N26" s="59">
        <f>H26/I26</f>
        <v>0.98244444444444445</v>
      </c>
    </row>
    <row r="27" spans="2:16" ht="24.95" customHeight="1" thickTop="1" thickBot="1">
      <c r="B27" s="60" t="s">
        <v>2</v>
      </c>
      <c r="C27" s="51">
        <f>SUM(C22:C26)</f>
        <v>59.5</v>
      </c>
      <c r="D27" s="52">
        <f>SUM(D22:D26)</f>
        <v>960</v>
      </c>
      <c r="E27" s="52">
        <f>SUM(E22:E26)</f>
        <v>950</v>
      </c>
      <c r="F27" s="52">
        <f>SUM(F22:F26)</f>
        <v>825</v>
      </c>
      <c r="G27" s="52">
        <f>SUM(G22:G26)</f>
        <v>11100</v>
      </c>
      <c r="H27" s="53">
        <f t="shared" si="0"/>
        <v>13894.5</v>
      </c>
      <c r="I27" s="61"/>
      <c r="J27" s="62">
        <f>SUM(J22:J26)</f>
        <v>10450</v>
      </c>
      <c r="K27" s="63">
        <f>SUM(K22:K26)</f>
        <v>1950</v>
      </c>
      <c r="L27" s="64">
        <f>SUM(L22:L26)</f>
        <v>26294.5</v>
      </c>
      <c r="M27" s="11"/>
      <c r="N27" s="23"/>
      <c r="P27" s="5"/>
    </row>
    <row r="28" spans="2:16" ht="24.95" customHeight="1" thickTop="1">
      <c r="B28" s="60" t="s">
        <v>28</v>
      </c>
      <c r="C28" s="51">
        <f t="shared" ref="C28:H28" si="2">C29-C27</f>
        <v>290.5</v>
      </c>
      <c r="D28" s="52">
        <f t="shared" si="2"/>
        <v>1040</v>
      </c>
      <c r="E28" s="52">
        <f t="shared" si="2"/>
        <v>1550</v>
      </c>
      <c r="F28" s="52">
        <f t="shared" si="2"/>
        <v>675</v>
      </c>
      <c r="G28" s="52">
        <f t="shared" si="2"/>
        <v>8900</v>
      </c>
      <c r="H28" s="65">
        <f t="shared" si="2"/>
        <v>12455.5</v>
      </c>
      <c r="I28" s="21"/>
      <c r="J28" s="52"/>
      <c r="K28" s="52"/>
      <c r="L28" s="52"/>
      <c r="M28" s="11"/>
      <c r="N28" s="23"/>
    </row>
    <row r="29" spans="2:16" ht="24.95" customHeight="1" thickBot="1">
      <c r="B29" s="66" t="s">
        <v>10</v>
      </c>
      <c r="C29" s="67">
        <f>C4</f>
        <v>350</v>
      </c>
      <c r="D29" s="68">
        <f>C5</f>
        <v>2000</v>
      </c>
      <c r="E29" s="68">
        <f>C6</f>
        <v>2500</v>
      </c>
      <c r="F29" s="68">
        <f>C7</f>
        <v>1500</v>
      </c>
      <c r="G29" s="68">
        <f>C8</f>
        <v>20000</v>
      </c>
      <c r="H29" s="57">
        <f>SUM(C29:G29)</f>
        <v>26350</v>
      </c>
      <c r="I29" s="21"/>
      <c r="J29" s="52"/>
      <c r="K29" s="52"/>
      <c r="L29" s="52"/>
      <c r="M29" s="11"/>
      <c r="N29" s="23"/>
    </row>
    <row r="30" spans="2:16" ht="24.95" customHeight="1" thickTop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23"/>
    </row>
    <row r="31" spans="2:16" ht="24.95" customHeight="1" thickBot="1">
      <c r="B31" s="90" t="s">
        <v>15</v>
      </c>
      <c r="C31" s="91" t="s">
        <v>36</v>
      </c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23"/>
    </row>
    <row r="32" spans="2:16" ht="24.95" customHeight="1" thickTop="1">
      <c r="B32" s="396" t="s">
        <v>33</v>
      </c>
      <c r="C32" s="391" t="s">
        <v>8</v>
      </c>
      <c r="D32" s="392"/>
      <c r="E32" s="392"/>
      <c r="F32" s="392"/>
      <c r="G32" s="392"/>
      <c r="H32" s="393"/>
      <c r="I32" s="36" t="s">
        <v>7</v>
      </c>
      <c r="J32" s="398" t="s">
        <v>0</v>
      </c>
      <c r="K32" s="400" t="s">
        <v>18</v>
      </c>
      <c r="L32" s="394" t="s">
        <v>2</v>
      </c>
      <c r="M32" s="37" t="s">
        <v>12</v>
      </c>
      <c r="N32" s="38">
        <f>SUM(J39:K39)</f>
        <v>12455.5</v>
      </c>
    </row>
    <row r="33" spans="2:14" ht="24.95" customHeight="1" thickBot="1">
      <c r="B33" s="397"/>
      <c r="C33" s="69" t="s">
        <v>3</v>
      </c>
      <c r="D33" s="70" t="s">
        <v>21</v>
      </c>
      <c r="E33" s="70" t="s">
        <v>22</v>
      </c>
      <c r="F33" s="70" t="s">
        <v>29</v>
      </c>
      <c r="G33" s="70" t="s">
        <v>4</v>
      </c>
      <c r="H33" s="71" t="s">
        <v>2</v>
      </c>
      <c r="I33" s="42" t="s">
        <v>23</v>
      </c>
      <c r="J33" s="404"/>
      <c r="K33" s="405"/>
      <c r="L33" s="402"/>
      <c r="M33" s="37" t="s">
        <v>11</v>
      </c>
      <c r="N33" s="38">
        <f>C40+D40+G40+F40+E40</f>
        <v>12455.5</v>
      </c>
    </row>
    <row r="34" spans="2:14" ht="24.95" customHeight="1" thickTop="1">
      <c r="B34" s="72" t="s">
        <v>5</v>
      </c>
      <c r="C34" s="156">
        <f>C22</f>
        <v>17.5</v>
      </c>
      <c r="D34" s="156">
        <f>D22-C22</f>
        <v>182.5</v>
      </c>
      <c r="E34" s="156">
        <f>E22</f>
        <v>0</v>
      </c>
      <c r="F34" s="156">
        <f>F22</f>
        <v>0</v>
      </c>
      <c r="G34" s="156">
        <f>G20*$C$8/100</f>
        <v>0</v>
      </c>
      <c r="H34" s="46">
        <f t="shared" ref="H34:H41" si="3">SUM(C34:G34)</f>
        <v>200</v>
      </c>
      <c r="I34" s="123">
        <f>Enoncé!I22</f>
        <v>200</v>
      </c>
      <c r="J34" s="124">
        <f>J22</f>
        <v>150</v>
      </c>
      <c r="K34" s="94">
        <f>K22</f>
        <v>0</v>
      </c>
      <c r="L34" s="53">
        <f>H34+J34+K34</f>
        <v>350</v>
      </c>
      <c r="M34" s="11"/>
      <c r="N34" s="11"/>
    </row>
    <row r="35" spans="2:14" ht="24.95" customHeight="1">
      <c r="B35" s="74" t="s">
        <v>19</v>
      </c>
      <c r="C35" s="157">
        <f>C23</f>
        <v>24.5</v>
      </c>
      <c r="D35" s="75">
        <f>D23-29.5+15-20</f>
        <v>265.5</v>
      </c>
      <c r="E35" s="21">
        <f>E23</f>
        <v>125</v>
      </c>
      <c r="F35" s="21">
        <f>F23</f>
        <v>300</v>
      </c>
      <c r="G35" s="21">
        <f>G23</f>
        <v>200</v>
      </c>
      <c r="H35" s="53">
        <f>SUM(C35:G35)</f>
        <v>915</v>
      </c>
      <c r="I35" s="47">
        <f>I23</f>
        <v>900</v>
      </c>
      <c r="J35" s="150">
        <f>J23-5</f>
        <v>795</v>
      </c>
      <c r="K35" s="159">
        <f>K23-10</f>
        <v>290</v>
      </c>
      <c r="L35" s="53">
        <f>H35+J35+K35</f>
        <v>2000</v>
      </c>
      <c r="M35" s="11"/>
      <c r="N35" s="11"/>
    </row>
    <row r="36" spans="2:14" ht="24.95" customHeight="1">
      <c r="B36" s="74" t="s">
        <v>20</v>
      </c>
      <c r="C36" s="157">
        <f>C24</f>
        <v>0</v>
      </c>
      <c r="D36" s="77">
        <f>D24</f>
        <v>260</v>
      </c>
      <c r="E36" s="111">
        <f>'arbitrage emplois finals et ag '!E36-10</f>
        <v>665</v>
      </c>
      <c r="F36" s="52">
        <f>'arbitrage emplois finals et ag '!F36</f>
        <v>75</v>
      </c>
      <c r="G36" s="52">
        <f>'arbitrage emplois finals et ag '!G36</f>
        <v>0</v>
      </c>
      <c r="H36" s="110">
        <f>SUM(C36:G36)</f>
        <v>1000</v>
      </c>
      <c r="I36" s="47">
        <f>I24</f>
        <v>1000</v>
      </c>
      <c r="J36" s="125">
        <f>J24</f>
        <v>700</v>
      </c>
      <c r="K36" s="126">
        <f>K24</f>
        <v>800</v>
      </c>
      <c r="L36" s="53">
        <f>H36+J36+K36</f>
        <v>2500</v>
      </c>
      <c r="M36" s="11"/>
      <c r="N36" s="11"/>
    </row>
    <row r="37" spans="2:14" ht="24.95" customHeight="1">
      <c r="B37" s="74" t="s">
        <v>29</v>
      </c>
      <c r="C37" s="157">
        <f>C25</f>
        <v>0</v>
      </c>
      <c r="D37" s="75">
        <f>D25+10</f>
        <v>50</v>
      </c>
      <c r="E37" s="52">
        <f>E25</f>
        <v>0</v>
      </c>
      <c r="F37" s="52" t="s">
        <v>34</v>
      </c>
      <c r="G37" s="52" t="s">
        <v>34</v>
      </c>
      <c r="H37" s="53" t="s">
        <v>34</v>
      </c>
      <c r="I37" s="47">
        <f>I25</f>
        <v>600</v>
      </c>
      <c r="J37" s="150">
        <f>J25-10</f>
        <v>90</v>
      </c>
      <c r="K37" s="159">
        <f>K25+5+10</f>
        <v>815</v>
      </c>
      <c r="L37" s="53" t="s">
        <v>34</v>
      </c>
      <c r="M37" s="11"/>
      <c r="N37" s="11"/>
    </row>
    <row r="38" spans="2:14" ht="24.95" customHeight="1" thickBot="1">
      <c r="B38" s="74" t="s">
        <v>4</v>
      </c>
      <c r="C38" s="157">
        <f>C26</f>
        <v>17.5</v>
      </c>
      <c r="D38" s="75">
        <f>D26+22+20</f>
        <v>202</v>
      </c>
      <c r="E38" s="111">
        <f>'arbitrage emplois finals et ag '!E38+10</f>
        <v>160</v>
      </c>
      <c r="F38" s="52" t="s">
        <v>34</v>
      </c>
      <c r="G38" s="52" t="s">
        <v>34</v>
      </c>
      <c r="H38" s="53" t="s">
        <v>34</v>
      </c>
      <c r="I38" s="47">
        <f>I26</f>
        <v>11250</v>
      </c>
      <c r="J38" s="151">
        <f>J26+100-9.5+50+50-100-15-30+10-20+20+5-10-5-5+10+5</f>
        <v>8755.5</v>
      </c>
      <c r="K38" s="160">
        <f>K26+10</f>
        <v>60</v>
      </c>
      <c r="L38" s="53" t="s">
        <v>34</v>
      </c>
      <c r="M38" s="11"/>
      <c r="N38" s="11"/>
    </row>
    <row r="39" spans="2:14" ht="24.95" customHeight="1" thickBot="1">
      <c r="B39" s="79" t="s">
        <v>44</v>
      </c>
      <c r="C39" s="157">
        <f>SUM(C34:C38)</f>
        <v>59.5</v>
      </c>
      <c r="D39" s="16">
        <f>SUM(D34:D38)</f>
        <v>960</v>
      </c>
      <c r="E39" s="16">
        <f>SUM(E34:E38)</f>
        <v>950</v>
      </c>
      <c r="F39" s="52">
        <f>'arbitrage Indus A'!F39</f>
        <v>825</v>
      </c>
      <c r="G39" s="52">
        <f>'arbitrage Indus A'!G39</f>
        <v>11100</v>
      </c>
      <c r="H39" s="53">
        <f>'arbitrage Indus A'!H39</f>
        <v>13877</v>
      </c>
      <c r="I39" s="148">
        <f>SUM(I34:I38)</f>
        <v>13950</v>
      </c>
      <c r="J39" s="160">
        <f>SUM(J34:J38)</f>
        <v>10490.5</v>
      </c>
      <c r="K39" s="158">
        <f>SUM(K34:K38)</f>
        <v>1965</v>
      </c>
      <c r="L39" s="80" t="s">
        <v>34</v>
      </c>
      <c r="M39" s="11"/>
      <c r="N39" s="11"/>
    </row>
    <row r="40" spans="2:14" ht="24.95" customHeight="1">
      <c r="B40" s="79" t="s">
        <v>28</v>
      </c>
      <c r="C40" s="157">
        <f>C41-C39</f>
        <v>290.5</v>
      </c>
      <c r="D40" s="52">
        <f>D28</f>
        <v>1040</v>
      </c>
      <c r="E40" s="52">
        <f>E28</f>
        <v>1550</v>
      </c>
      <c r="F40" s="52">
        <f>F28</f>
        <v>675</v>
      </c>
      <c r="G40" s="52">
        <f>G28</f>
        <v>8900</v>
      </c>
      <c r="H40" s="53">
        <f t="shared" si="3"/>
        <v>12455.5</v>
      </c>
      <c r="I40" s="21"/>
      <c r="J40" s="301" t="s">
        <v>51</v>
      </c>
      <c r="K40" s="302" t="s">
        <v>52</v>
      </c>
      <c r="L40" s="302">
        <f>J39+K39</f>
        <v>12455.5</v>
      </c>
      <c r="M40" s="11"/>
      <c r="N40" s="11"/>
    </row>
    <row r="41" spans="2:14" ht="24.95" customHeight="1" thickBot="1">
      <c r="B41" s="82" t="s">
        <v>10</v>
      </c>
      <c r="C41" s="158">
        <f>C4</f>
        <v>350</v>
      </c>
      <c r="D41" s="68">
        <f>C5</f>
        <v>2000</v>
      </c>
      <c r="E41" s="68">
        <f>C6</f>
        <v>2500</v>
      </c>
      <c r="F41" s="68">
        <f>F29</f>
        <v>1500</v>
      </c>
      <c r="G41" s="68">
        <f>C8</f>
        <v>20000</v>
      </c>
      <c r="H41" s="57">
        <f t="shared" si="3"/>
        <v>26350</v>
      </c>
      <c r="J41" s="301" t="s">
        <v>9</v>
      </c>
      <c r="K41" s="302" t="s">
        <v>55</v>
      </c>
      <c r="L41" s="302">
        <f>H40</f>
        <v>12455.5</v>
      </c>
      <c r="M41" s="11"/>
      <c r="N41" s="11"/>
    </row>
    <row r="42" spans="2:14" ht="16.5" thickTop="1">
      <c r="B42" s="103" t="s">
        <v>30</v>
      </c>
      <c r="C42" s="92"/>
      <c r="D42" s="92"/>
      <c r="E42" s="104"/>
    </row>
    <row r="43" spans="2:14" ht="32.25" thickBot="1">
      <c r="B43" s="107" t="s">
        <v>39</v>
      </c>
      <c r="C43" s="108"/>
      <c r="D43" s="108"/>
      <c r="E43" s="109"/>
    </row>
    <row r="44" spans="2:14" ht="13.5" thickTop="1"/>
  </sheetData>
  <mergeCells count="10">
    <mergeCell ref="C20:H20"/>
    <mergeCell ref="L20:L21"/>
    <mergeCell ref="B32:B33"/>
    <mergeCell ref="C32:H32"/>
    <mergeCell ref="J32:J33"/>
    <mergeCell ref="K32:K33"/>
    <mergeCell ref="L32:L33"/>
    <mergeCell ref="J20:J21"/>
    <mergeCell ref="K20:K21"/>
    <mergeCell ref="B20:B2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Q45"/>
  <sheetViews>
    <sheetView topLeftCell="A11" workbookViewId="0">
      <selection activeCell="A30" sqref="A30:XFD30"/>
    </sheetView>
  </sheetViews>
  <sheetFormatPr baseColWidth="10" defaultColWidth="9.140625" defaultRowHeight="12.75"/>
  <cols>
    <col min="1" max="1" width="11.42578125" customWidth="1"/>
    <col min="2" max="2" width="14" customWidth="1"/>
    <col min="3" max="14" width="10.7109375" customWidth="1"/>
    <col min="15" max="15" width="2" customWidth="1"/>
    <col min="16" max="256" width="11.42578125" customWidth="1"/>
  </cols>
  <sheetData>
    <row r="1" spans="2:17" ht="13.5" thickBot="1"/>
    <row r="2" spans="2:17" ht="24.95" customHeight="1" thickTop="1" thickBot="1">
      <c r="B2" s="8"/>
      <c r="C2" s="87" t="s">
        <v>32</v>
      </c>
      <c r="D2" s="9"/>
      <c r="E2" s="9"/>
      <c r="F2" s="9" t="s">
        <v>17</v>
      </c>
      <c r="G2" s="9"/>
      <c r="H2" s="9"/>
      <c r="I2" s="88"/>
      <c r="J2" s="89"/>
      <c r="K2" s="10"/>
      <c r="L2" s="10"/>
      <c r="M2" s="11"/>
      <c r="N2" s="11"/>
      <c r="P2" s="3" t="s">
        <v>16</v>
      </c>
      <c r="Q2" s="4"/>
    </row>
    <row r="3" spans="2:17" ht="24.95" customHeight="1">
      <c r="B3" s="12"/>
      <c r="C3" s="13" t="s">
        <v>6</v>
      </c>
      <c r="D3" s="13" t="s">
        <v>7</v>
      </c>
      <c r="E3" s="13" t="s">
        <v>0</v>
      </c>
      <c r="F3" s="13" t="s">
        <v>1</v>
      </c>
      <c r="G3" s="14"/>
      <c r="H3" s="15" t="s">
        <v>2</v>
      </c>
      <c r="I3" s="16"/>
      <c r="J3" s="10"/>
      <c r="K3" s="10"/>
      <c r="L3" s="10"/>
      <c r="M3" s="11"/>
      <c r="N3" s="11"/>
      <c r="P3" s="1" t="s">
        <v>9</v>
      </c>
      <c r="Q3" s="2">
        <f>SUM(E4:F8)</f>
        <v>12400</v>
      </c>
    </row>
    <row r="4" spans="2:17" ht="24.95" customHeight="1">
      <c r="B4" s="17" t="s">
        <v>5</v>
      </c>
      <c r="C4" s="18">
        <v>350</v>
      </c>
      <c r="D4" s="18">
        <v>200</v>
      </c>
      <c r="E4" s="18">
        <v>150</v>
      </c>
      <c r="F4" s="18"/>
      <c r="G4" s="19"/>
      <c r="H4" s="20">
        <f>SUM(D4:F4)</f>
        <v>350</v>
      </c>
      <c r="I4" s="21"/>
      <c r="J4" s="10"/>
      <c r="K4" s="10"/>
      <c r="L4" s="10"/>
      <c r="M4" s="22"/>
      <c r="N4" s="23"/>
    </row>
    <row r="5" spans="2:17" ht="24.95" customHeight="1">
      <c r="B5" s="17" t="s">
        <v>19</v>
      </c>
      <c r="C5" s="18">
        <v>2000</v>
      </c>
      <c r="D5" s="18">
        <v>900</v>
      </c>
      <c r="E5" s="18">
        <v>800</v>
      </c>
      <c r="F5" s="18">
        <v>300</v>
      </c>
      <c r="G5" s="19"/>
      <c r="H5" s="20">
        <f>SUM(D5:F5)</f>
        <v>2000</v>
      </c>
      <c r="I5" s="21"/>
      <c r="J5" s="10"/>
      <c r="K5" s="10"/>
      <c r="L5" s="10"/>
      <c r="M5" s="11"/>
      <c r="N5" s="23"/>
    </row>
    <row r="6" spans="2:17" ht="24.95" customHeight="1">
      <c r="B6" s="17" t="s">
        <v>20</v>
      </c>
      <c r="C6" s="18">
        <v>2500</v>
      </c>
      <c r="D6" s="18">
        <v>1000</v>
      </c>
      <c r="E6" s="18">
        <v>700</v>
      </c>
      <c r="F6" s="18">
        <v>800</v>
      </c>
      <c r="G6" s="19"/>
      <c r="H6" s="20">
        <f>SUM(D6:F6)</f>
        <v>2500</v>
      </c>
      <c r="I6" s="21"/>
      <c r="J6" s="10"/>
      <c r="K6" s="10"/>
      <c r="L6" s="10"/>
      <c r="M6" s="11"/>
      <c r="N6" s="23"/>
    </row>
    <row r="7" spans="2:17" ht="24.95" customHeight="1">
      <c r="B7" s="17" t="s">
        <v>29</v>
      </c>
      <c r="C7" s="18">
        <v>1500</v>
      </c>
      <c r="D7" s="18">
        <v>600</v>
      </c>
      <c r="E7" s="18">
        <v>100</v>
      </c>
      <c r="F7" s="18">
        <v>800</v>
      </c>
      <c r="G7" s="19"/>
      <c r="H7" s="20">
        <f>SUM(D7:F7)</f>
        <v>1500</v>
      </c>
      <c r="I7" s="21"/>
      <c r="J7" s="10"/>
      <c r="K7" s="10"/>
      <c r="L7" s="10"/>
      <c r="M7" s="11"/>
      <c r="N7" s="23"/>
    </row>
    <row r="8" spans="2:17" ht="24.95" customHeight="1">
      <c r="B8" s="12" t="s">
        <v>4</v>
      </c>
      <c r="C8" s="13">
        <v>20000</v>
      </c>
      <c r="D8" s="13">
        <f>C8-F8-E8</f>
        <v>11250</v>
      </c>
      <c r="E8" s="13">
        <v>8700</v>
      </c>
      <c r="F8" s="13">
        <v>50</v>
      </c>
      <c r="G8" s="19"/>
      <c r="H8" s="20">
        <f>SUM(D8:F8)</f>
        <v>20000</v>
      </c>
      <c r="I8" s="21"/>
      <c r="J8" s="10"/>
      <c r="K8" s="10"/>
      <c r="L8" s="10"/>
      <c r="M8" s="11"/>
      <c r="N8" s="23"/>
    </row>
    <row r="9" spans="2:17" ht="24.95" customHeight="1" thickBot="1">
      <c r="B9" s="24" t="s">
        <v>2</v>
      </c>
      <c r="C9" s="25">
        <f>SUM(C4:C8)</f>
        <v>26350</v>
      </c>
      <c r="D9" s="25">
        <f>SUM(D4:D8)</f>
        <v>13950</v>
      </c>
      <c r="E9" s="25">
        <f>SUM(E4:E8)</f>
        <v>10450</v>
      </c>
      <c r="F9" s="25">
        <f>SUM(F4:F8)</f>
        <v>1950</v>
      </c>
      <c r="G9" s="25"/>
      <c r="H9" s="25">
        <f>SUM(H4:H8)</f>
        <v>26350</v>
      </c>
      <c r="I9" s="26"/>
      <c r="J9" s="10"/>
      <c r="K9" s="10"/>
      <c r="L9" s="10"/>
      <c r="M9" s="11"/>
      <c r="N9" s="23"/>
    </row>
    <row r="10" spans="2:17" ht="24.95" customHeight="1" thickTop="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23"/>
    </row>
    <row r="11" spans="2:17" ht="24.95" customHeight="1" thickBot="1">
      <c r="B11" s="6" t="s">
        <v>13</v>
      </c>
      <c r="C11" s="6"/>
      <c r="D11" s="6"/>
      <c r="E11" s="6"/>
      <c r="F11" s="6"/>
      <c r="G11" s="6"/>
      <c r="H11" s="10"/>
      <c r="I11" s="10"/>
      <c r="J11" s="10"/>
      <c r="K11" s="10"/>
      <c r="L11" s="10"/>
      <c r="M11" s="11"/>
      <c r="N11" s="23"/>
    </row>
    <row r="12" spans="2:17" ht="24.95" customHeight="1" thickBot="1">
      <c r="B12" s="6"/>
      <c r="C12" s="84" t="s">
        <v>31</v>
      </c>
      <c r="D12" s="85" t="s">
        <v>21</v>
      </c>
      <c r="E12" s="85" t="s">
        <v>22</v>
      </c>
      <c r="F12" s="85" t="s">
        <v>29</v>
      </c>
      <c r="G12" s="86" t="s">
        <v>4</v>
      </c>
      <c r="H12" s="10"/>
      <c r="I12" s="10"/>
      <c r="J12" s="10"/>
      <c r="K12" s="10"/>
      <c r="L12" s="10"/>
      <c r="M12" s="11"/>
      <c r="N12" s="23"/>
    </row>
    <row r="13" spans="2:17" ht="24.95" customHeight="1">
      <c r="B13" s="27" t="s">
        <v>5</v>
      </c>
      <c r="C13" s="29">
        <v>5</v>
      </c>
      <c r="D13" s="29">
        <v>10</v>
      </c>
      <c r="E13" s="29">
        <v>0</v>
      </c>
      <c r="F13" s="31">
        <v>0</v>
      </c>
      <c r="G13" s="30"/>
      <c r="H13" s="10"/>
      <c r="I13" s="10"/>
      <c r="J13" s="10"/>
      <c r="K13" s="10"/>
      <c r="L13" s="10"/>
      <c r="M13" s="11"/>
      <c r="N13" s="23"/>
    </row>
    <row r="14" spans="2:17" ht="24.95" customHeight="1">
      <c r="B14" s="28" t="s">
        <v>19</v>
      </c>
      <c r="C14" s="29">
        <v>7</v>
      </c>
      <c r="D14" s="29">
        <v>15</v>
      </c>
      <c r="E14" s="29">
        <v>5</v>
      </c>
      <c r="F14" s="29">
        <v>20</v>
      </c>
      <c r="G14" s="30">
        <v>1</v>
      </c>
      <c r="H14" s="10"/>
      <c r="I14" s="10"/>
      <c r="J14" s="10"/>
      <c r="K14" s="10"/>
      <c r="L14" s="10"/>
      <c r="M14" s="11"/>
      <c r="N14" s="23"/>
    </row>
    <row r="15" spans="2:17" ht="24.95" customHeight="1">
      <c r="B15" s="28" t="s">
        <v>20</v>
      </c>
      <c r="C15" s="29">
        <v>0</v>
      </c>
      <c r="D15" s="29">
        <v>13</v>
      </c>
      <c r="E15" s="29">
        <v>27</v>
      </c>
      <c r="F15" s="31">
        <v>5</v>
      </c>
      <c r="G15" s="30">
        <v>0</v>
      </c>
      <c r="H15" s="10"/>
      <c r="I15" s="10"/>
      <c r="J15" s="10"/>
      <c r="K15" s="10"/>
      <c r="L15" s="10"/>
      <c r="M15" s="11"/>
      <c r="N15" s="23"/>
    </row>
    <row r="16" spans="2:17" ht="24.95" customHeight="1">
      <c r="B16" s="32" t="s">
        <v>29</v>
      </c>
      <c r="C16" s="29">
        <v>0</v>
      </c>
      <c r="D16" s="29">
        <v>2</v>
      </c>
      <c r="E16" s="31">
        <v>0</v>
      </c>
      <c r="F16" s="29">
        <v>15</v>
      </c>
      <c r="G16" s="30">
        <v>2</v>
      </c>
      <c r="H16" s="10"/>
      <c r="I16" s="10"/>
      <c r="J16" s="10"/>
      <c r="K16" s="10"/>
      <c r="L16" s="10"/>
      <c r="M16" s="11"/>
      <c r="N16" s="23"/>
    </row>
    <row r="17" spans="2:16" ht="24.95" customHeight="1" thickBot="1">
      <c r="B17" s="33" t="s">
        <v>4</v>
      </c>
      <c r="C17" s="34">
        <v>5</v>
      </c>
      <c r="D17" s="34">
        <v>8</v>
      </c>
      <c r="E17" s="34">
        <v>6</v>
      </c>
      <c r="F17" s="34">
        <v>15</v>
      </c>
      <c r="G17" s="35">
        <v>52.5</v>
      </c>
      <c r="H17" s="10"/>
      <c r="I17" s="10"/>
      <c r="J17" s="10"/>
      <c r="K17" s="10"/>
      <c r="L17" s="10"/>
      <c r="M17" s="11"/>
      <c r="N17" s="23"/>
    </row>
    <row r="18" spans="2:16" ht="24.95" customHeight="1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23"/>
    </row>
    <row r="19" spans="2:16" ht="24.95" customHeight="1" thickBot="1">
      <c r="B19" s="6" t="s">
        <v>14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23"/>
    </row>
    <row r="20" spans="2:16" ht="24.95" customHeight="1" thickTop="1">
      <c r="B20" s="396" t="s">
        <v>33</v>
      </c>
      <c r="C20" s="391" t="s">
        <v>8</v>
      </c>
      <c r="D20" s="392"/>
      <c r="E20" s="392"/>
      <c r="F20" s="392"/>
      <c r="G20" s="392"/>
      <c r="H20" s="393"/>
      <c r="I20" s="36" t="s">
        <v>7</v>
      </c>
      <c r="J20" s="398" t="s">
        <v>0</v>
      </c>
      <c r="K20" s="400" t="s">
        <v>18</v>
      </c>
      <c r="L20" s="394" t="s">
        <v>2</v>
      </c>
      <c r="M20" s="37" t="s">
        <v>27</v>
      </c>
      <c r="N20" s="38">
        <f>SUM(J27:K28)</f>
        <v>12400</v>
      </c>
    </row>
    <row r="21" spans="2:16" ht="24.95" customHeight="1" thickBot="1">
      <c r="B21" s="403"/>
      <c r="C21" s="39" t="s">
        <v>3</v>
      </c>
      <c r="D21" s="40" t="s">
        <v>21</v>
      </c>
      <c r="E21" s="40" t="s">
        <v>22</v>
      </c>
      <c r="F21" s="40" t="s">
        <v>29</v>
      </c>
      <c r="G21" s="40" t="s">
        <v>4</v>
      </c>
      <c r="H21" s="41" t="s">
        <v>2</v>
      </c>
      <c r="I21" s="42" t="s">
        <v>23</v>
      </c>
      <c r="J21" s="399"/>
      <c r="K21" s="401"/>
      <c r="L21" s="402"/>
      <c r="M21" s="37" t="s">
        <v>11</v>
      </c>
      <c r="N21" s="38">
        <f>C28+D28+G28+F28+E28</f>
        <v>12455.5</v>
      </c>
    </row>
    <row r="22" spans="2:16" ht="24.95" customHeight="1" thickTop="1">
      <c r="B22" s="43" t="s">
        <v>5</v>
      </c>
      <c r="C22" s="44">
        <f>C13*$C$4/100</f>
        <v>17.5</v>
      </c>
      <c r="D22" s="45">
        <f>D13*$C$5/100</f>
        <v>200</v>
      </c>
      <c r="E22" s="45">
        <f>E13*$C$6/100</f>
        <v>0</v>
      </c>
      <c r="F22" s="45">
        <f>F13*$C$7/100</f>
        <v>0</v>
      </c>
      <c r="G22" s="45">
        <f>G13*$C$8/100</f>
        <v>0</v>
      </c>
      <c r="H22" s="46">
        <f t="shared" ref="H22:H27" si="0">SUM(C22:G22)</f>
        <v>217.5</v>
      </c>
      <c r="I22" s="46">
        <f t="shared" ref="I22:K26" si="1">D4</f>
        <v>200</v>
      </c>
      <c r="J22" s="47">
        <f t="shared" si="1"/>
        <v>150</v>
      </c>
      <c r="K22" s="47">
        <f t="shared" si="1"/>
        <v>0</v>
      </c>
      <c r="L22" s="48">
        <f>H22+J22+K22</f>
        <v>367.5</v>
      </c>
      <c r="M22" s="49" t="s">
        <v>26</v>
      </c>
      <c r="N22" s="50">
        <f>H22/I22</f>
        <v>1.0874999999999999</v>
      </c>
    </row>
    <row r="23" spans="2:16" ht="24.95" customHeight="1">
      <c r="B23" s="43" t="s">
        <v>19</v>
      </c>
      <c r="C23" s="51">
        <f>C14*$C$4/100</f>
        <v>24.5</v>
      </c>
      <c r="D23" s="52">
        <f>D14*$C$5/100</f>
        <v>300</v>
      </c>
      <c r="E23" s="52">
        <f>E14*$C$6/100</f>
        <v>125</v>
      </c>
      <c r="F23" s="52">
        <f>F14*$C$7/100</f>
        <v>300</v>
      </c>
      <c r="G23" s="52">
        <f>G14*$C$8/100</f>
        <v>200</v>
      </c>
      <c r="H23" s="53">
        <f t="shared" si="0"/>
        <v>949.5</v>
      </c>
      <c r="I23" s="53">
        <f t="shared" si="1"/>
        <v>900</v>
      </c>
      <c r="J23" s="47">
        <f t="shared" si="1"/>
        <v>800</v>
      </c>
      <c r="K23" s="47">
        <f t="shared" si="1"/>
        <v>300</v>
      </c>
      <c r="L23" s="48">
        <f>H23+J23+K23</f>
        <v>2049.5</v>
      </c>
      <c r="M23" s="54" t="s">
        <v>25</v>
      </c>
      <c r="N23" s="55">
        <f>H23/I23</f>
        <v>1.0549999999999999</v>
      </c>
    </row>
    <row r="24" spans="2:16" ht="24.95" customHeight="1">
      <c r="B24" s="43" t="s">
        <v>20</v>
      </c>
      <c r="C24" s="51">
        <f>C15*$C$4/100</f>
        <v>0</v>
      </c>
      <c r="D24" s="52">
        <f>D15*$C$5/100</f>
        <v>260</v>
      </c>
      <c r="E24" s="52">
        <f>E15*$C$6/100</f>
        <v>675</v>
      </c>
      <c r="F24" s="52">
        <f>F15*$C$7/100</f>
        <v>75</v>
      </c>
      <c r="G24" s="52">
        <f>G15*$C$8/100</f>
        <v>0</v>
      </c>
      <c r="H24" s="53">
        <f t="shared" si="0"/>
        <v>1010</v>
      </c>
      <c r="I24" s="53">
        <f t="shared" si="1"/>
        <v>1000</v>
      </c>
      <c r="J24" s="47">
        <f t="shared" si="1"/>
        <v>700</v>
      </c>
      <c r="K24" s="47">
        <f t="shared" si="1"/>
        <v>800</v>
      </c>
      <c r="L24" s="48">
        <f>H24+J24+K24</f>
        <v>2510</v>
      </c>
      <c r="M24" s="56"/>
      <c r="N24" s="55">
        <f>H24/I24</f>
        <v>1.01</v>
      </c>
    </row>
    <row r="25" spans="2:16" ht="24.95" customHeight="1">
      <c r="B25" s="43" t="s">
        <v>29</v>
      </c>
      <c r="C25" s="51">
        <f>C16*$C$4/100</f>
        <v>0</v>
      </c>
      <c r="D25" s="52">
        <f>D16*$C$5/100</f>
        <v>40</v>
      </c>
      <c r="E25" s="52">
        <f>E16*$C$6/100</f>
        <v>0</v>
      </c>
      <c r="F25" s="52">
        <f>F16*$C$7/100</f>
        <v>225</v>
      </c>
      <c r="G25" s="52">
        <f>G16*$C$8/100</f>
        <v>400</v>
      </c>
      <c r="H25" s="53">
        <f t="shared" si="0"/>
        <v>665</v>
      </c>
      <c r="I25" s="53">
        <f t="shared" si="1"/>
        <v>600</v>
      </c>
      <c r="J25" s="47">
        <f t="shared" si="1"/>
        <v>100</v>
      </c>
      <c r="K25" s="47">
        <f t="shared" si="1"/>
        <v>800</v>
      </c>
      <c r="L25" s="48">
        <f>H25+J25+K25</f>
        <v>1565</v>
      </c>
      <c r="M25" s="56"/>
      <c r="N25" s="55">
        <f>H25/I25</f>
        <v>1.1083333333333334</v>
      </c>
    </row>
    <row r="26" spans="2:16" ht="24.95" customHeight="1" thickBot="1">
      <c r="B26" s="43" t="s">
        <v>4</v>
      </c>
      <c r="C26" s="51">
        <f>C17*$C$4/100</f>
        <v>17.5</v>
      </c>
      <c r="D26" s="52">
        <f>D17*$C$5/100</f>
        <v>160</v>
      </c>
      <c r="E26" s="52">
        <f>E17*$C$6/100</f>
        <v>150</v>
      </c>
      <c r="F26" s="52">
        <f>F17*$C$7/100</f>
        <v>225</v>
      </c>
      <c r="G26" s="52">
        <f>G17*$C$8/100</f>
        <v>10500</v>
      </c>
      <c r="H26" s="53">
        <f t="shared" si="0"/>
        <v>11052.5</v>
      </c>
      <c r="I26" s="57">
        <f t="shared" si="1"/>
        <v>11250</v>
      </c>
      <c r="J26" s="47">
        <f t="shared" si="1"/>
        <v>8700</v>
      </c>
      <c r="K26" s="47">
        <f t="shared" si="1"/>
        <v>50</v>
      </c>
      <c r="L26" s="48">
        <f>H26+J26+K26</f>
        <v>19802.5</v>
      </c>
      <c r="M26" s="58"/>
      <c r="N26" s="59">
        <f>H26/I26</f>
        <v>0.98244444444444445</v>
      </c>
    </row>
    <row r="27" spans="2:16" ht="24.95" customHeight="1" thickTop="1" thickBot="1">
      <c r="B27" s="60" t="s">
        <v>2</v>
      </c>
      <c r="C27" s="51">
        <f>SUM(C22:C26)</f>
        <v>59.5</v>
      </c>
      <c r="D27" s="52">
        <f>SUM(D22:D26)</f>
        <v>960</v>
      </c>
      <c r="E27" s="52">
        <f>SUM(E22:E26)</f>
        <v>950</v>
      </c>
      <c r="F27" s="52">
        <f>SUM(F22:F26)</f>
        <v>825</v>
      </c>
      <c r="G27" s="52">
        <f>SUM(G22:G26)</f>
        <v>11100</v>
      </c>
      <c r="H27" s="53">
        <f t="shared" si="0"/>
        <v>13894.5</v>
      </c>
      <c r="I27" s="61"/>
      <c r="J27" s="62">
        <f>SUM(J22:J26)</f>
        <v>10450</v>
      </c>
      <c r="K27" s="63">
        <f>SUM(K22:K26)</f>
        <v>1950</v>
      </c>
      <c r="L27" s="64">
        <f>SUM(L22:L26)</f>
        <v>26294.5</v>
      </c>
      <c r="M27" s="11"/>
      <c r="N27" s="23"/>
      <c r="P27" s="5"/>
    </row>
    <row r="28" spans="2:16" ht="24.95" customHeight="1" thickTop="1">
      <c r="B28" s="60" t="s">
        <v>28</v>
      </c>
      <c r="C28" s="51">
        <f t="shared" ref="C28:H28" si="2">C29-C27</f>
        <v>290.5</v>
      </c>
      <c r="D28" s="52">
        <f t="shared" si="2"/>
        <v>1040</v>
      </c>
      <c r="E28" s="52">
        <f t="shared" si="2"/>
        <v>1550</v>
      </c>
      <c r="F28" s="52">
        <f t="shared" si="2"/>
        <v>675</v>
      </c>
      <c r="G28" s="52">
        <f t="shared" si="2"/>
        <v>8900</v>
      </c>
      <c r="H28" s="65">
        <f t="shared" si="2"/>
        <v>12455.5</v>
      </c>
      <c r="I28" s="21"/>
      <c r="J28" s="52"/>
      <c r="K28" s="52"/>
      <c r="L28" s="52"/>
      <c r="M28" s="11"/>
      <c r="N28" s="23"/>
    </row>
    <row r="29" spans="2:16" ht="24.95" customHeight="1" thickBot="1">
      <c r="B29" s="66" t="s">
        <v>10</v>
      </c>
      <c r="C29" s="67">
        <f>C4</f>
        <v>350</v>
      </c>
      <c r="D29" s="68">
        <f>C5</f>
        <v>2000</v>
      </c>
      <c r="E29" s="68">
        <f>C6</f>
        <v>2500</v>
      </c>
      <c r="F29" s="68">
        <f>C7</f>
        <v>1500</v>
      </c>
      <c r="G29" s="68">
        <f>C8</f>
        <v>20000</v>
      </c>
      <c r="H29" s="57">
        <f>SUM(C29:G29)</f>
        <v>26350</v>
      </c>
      <c r="I29" s="21"/>
      <c r="J29" s="52"/>
      <c r="K29" s="52"/>
      <c r="L29" s="52"/>
      <c r="M29" s="11"/>
      <c r="N29" s="23"/>
    </row>
    <row r="30" spans="2:16" ht="24.95" customHeight="1" thickTop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23"/>
    </row>
    <row r="31" spans="2:16" ht="33" customHeight="1" thickBot="1">
      <c r="B31" s="90" t="s">
        <v>42</v>
      </c>
      <c r="C31" s="91" t="s">
        <v>37</v>
      </c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23"/>
    </row>
    <row r="32" spans="2:16" ht="24.95" customHeight="1" thickTop="1">
      <c r="B32" s="396" t="s">
        <v>33</v>
      </c>
      <c r="C32" s="391" t="s">
        <v>8</v>
      </c>
      <c r="D32" s="392"/>
      <c r="E32" s="392"/>
      <c r="F32" s="392"/>
      <c r="G32" s="392"/>
      <c r="H32" s="393"/>
      <c r="I32" s="36" t="s">
        <v>7</v>
      </c>
      <c r="J32" s="398" t="s">
        <v>0</v>
      </c>
      <c r="K32" s="400" t="s">
        <v>18</v>
      </c>
      <c r="L32" s="394" t="s">
        <v>2</v>
      </c>
      <c r="M32" s="37" t="s">
        <v>12</v>
      </c>
      <c r="N32" s="38">
        <f>SUM(J39:K39)</f>
        <v>12455.5</v>
      </c>
    </row>
    <row r="33" spans="2:14" ht="24.95" customHeight="1" thickBot="1">
      <c r="B33" s="397"/>
      <c r="C33" s="69" t="s">
        <v>3</v>
      </c>
      <c r="D33" s="70" t="s">
        <v>21</v>
      </c>
      <c r="E33" s="70" t="s">
        <v>22</v>
      </c>
      <c r="F33" s="70" t="s">
        <v>29</v>
      </c>
      <c r="G33" s="70" t="s">
        <v>4</v>
      </c>
      <c r="H33" s="71" t="s">
        <v>2</v>
      </c>
      <c r="I33" s="42" t="s">
        <v>23</v>
      </c>
      <c r="J33" s="399"/>
      <c r="K33" s="401"/>
      <c r="L33" s="402"/>
      <c r="M33" s="37" t="s">
        <v>11</v>
      </c>
      <c r="N33" s="38">
        <f>C40+D40+G40+F40+E40</f>
        <v>12455.5</v>
      </c>
    </row>
    <row r="34" spans="2:14" ht="24.95" customHeight="1" thickTop="1">
      <c r="B34" s="72" t="s">
        <v>5</v>
      </c>
      <c r="C34" s="156">
        <f>C22</f>
        <v>17.5</v>
      </c>
      <c r="D34" s="156">
        <f>D22-C22</f>
        <v>182.5</v>
      </c>
      <c r="E34" s="156">
        <f>E22</f>
        <v>0</v>
      </c>
      <c r="F34" s="156">
        <f>F22</f>
        <v>0</v>
      </c>
      <c r="G34" s="156">
        <f>G20*$C$8/100</f>
        <v>0</v>
      </c>
      <c r="H34" s="161">
        <f>SUM(C34:G34)</f>
        <v>200</v>
      </c>
      <c r="I34" s="73">
        <f>Enoncé!I22</f>
        <v>200</v>
      </c>
      <c r="J34" s="47">
        <f>J22</f>
        <v>150</v>
      </c>
      <c r="K34" s="47">
        <f>K22</f>
        <v>0</v>
      </c>
      <c r="L34" s="48">
        <f>H34+J34+K34</f>
        <v>350</v>
      </c>
      <c r="M34" s="11"/>
      <c r="N34" s="11"/>
    </row>
    <row r="35" spans="2:14" ht="24.95" customHeight="1">
      <c r="B35" s="74" t="s">
        <v>19</v>
      </c>
      <c r="C35" s="157">
        <f>C23</f>
        <v>24.5</v>
      </c>
      <c r="D35" s="75">
        <f>'arbitage Indus B'!D35</f>
        <v>265.5</v>
      </c>
      <c r="E35" s="21">
        <f>E23</f>
        <v>125</v>
      </c>
      <c r="F35" s="21">
        <f>F23</f>
        <v>300</v>
      </c>
      <c r="G35" s="21">
        <f>G23</f>
        <v>200</v>
      </c>
      <c r="H35" s="53">
        <f>'arbitage Indus B'!H35</f>
        <v>915</v>
      </c>
      <c r="I35" s="76">
        <f>I23</f>
        <v>900</v>
      </c>
      <c r="J35" s="153">
        <f>J23-5</f>
        <v>795</v>
      </c>
      <c r="K35" s="153">
        <f>K23-10</f>
        <v>290</v>
      </c>
      <c r="L35" s="48">
        <f>H35+J35+K35</f>
        <v>2000</v>
      </c>
      <c r="M35" s="11"/>
      <c r="N35" s="11"/>
    </row>
    <row r="36" spans="2:14" ht="24.95" customHeight="1">
      <c r="B36" s="74" t="s">
        <v>20</v>
      </c>
      <c r="C36" s="157">
        <f>C24</f>
        <v>0</v>
      </c>
      <c r="D36" s="77">
        <f>D24</f>
        <v>260</v>
      </c>
      <c r="E36" s="75">
        <f>'arbitrage emplois finals et ag '!E36</f>
        <v>675</v>
      </c>
      <c r="F36" s="52">
        <f>'arbitrage emplois finals et ag '!F36</f>
        <v>75</v>
      </c>
      <c r="G36" s="52">
        <f>'arbitrage emplois finals et ag '!G36</f>
        <v>0</v>
      </c>
      <c r="H36" s="53">
        <f>'arbitage Indus B'!H36</f>
        <v>1000</v>
      </c>
      <c r="I36" s="76">
        <f>I24</f>
        <v>1000</v>
      </c>
      <c r="J36" s="78">
        <f>J24</f>
        <v>700</v>
      </c>
      <c r="K36" s="51">
        <f>K24</f>
        <v>800</v>
      </c>
      <c r="L36" s="48">
        <f>H36+J36+K36</f>
        <v>2500</v>
      </c>
      <c r="M36" s="11"/>
      <c r="N36" s="11"/>
    </row>
    <row r="37" spans="2:14" ht="24.95" customHeight="1">
      <c r="B37" s="74" t="s">
        <v>29</v>
      </c>
      <c r="C37" s="157">
        <f>C25</f>
        <v>0</v>
      </c>
      <c r="D37" s="75">
        <f>'arbitage Indus B'!D37</f>
        <v>50</v>
      </c>
      <c r="E37" s="52">
        <f>E25</f>
        <v>0</v>
      </c>
      <c r="F37" s="111">
        <f>'arbitrage emplois finals et ag '!F37-30</f>
        <v>195</v>
      </c>
      <c r="G37" s="111">
        <f>H37-F37-E37-D37</f>
        <v>350</v>
      </c>
      <c r="H37" s="110">
        <f>H25-70</f>
        <v>595</v>
      </c>
      <c r="I37" s="76">
        <f>I25</f>
        <v>600</v>
      </c>
      <c r="J37" s="153">
        <f>J25-10</f>
        <v>90</v>
      </c>
      <c r="K37" s="153">
        <f>K25+5+10</f>
        <v>815</v>
      </c>
      <c r="L37" s="48">
        <f>H37+J37+K37</f>
        <v>1500</v>
      </c>
      <c r="M37" s="11"/>
      <c r="N37" s="11"/>
    </row>
    <row r="38" spans="2:14" ht="24.95" customHeight="1" thickBot="1">
      <c r="B38" s="74" t="s">
        <v>4</v>
      </c>
      <c r="C38" s="157">
        <f>C26</f>
        <v>17.5</v>
      </c>
      <c r="D38" s="75">
        <f>'arbitage Indus B'!D38</f>
        <v>202</v>
      </c>
      <c r="E38" s="52">
        <f>'arbitage Indus B'!E38</f>
        <v>160</v>
      </c>
      <c r="F38" s="111">
        <f>'arbitrage emplois finals et ag '!F38+30</f>
        <v>255</v>
      </c>
      <c r="G38" s="111">
        <f>H38-F38-E38-D38-C38</f>
        <v>10550</v>
      </c>
      <c r="H38" s="110">
        <f>H26+132</f>
        <v>11184.5</v>
      </c>
      <c r="I38" s="76">
        <f>I26</f>
        <v>11250</v>
      </c>
      <c r="J38" s="153">
        <f>J26+100-9.5+50+50-100-15-30+10-20+20+5-10-5-5+10+5</f>
        <v>8755.5</v>
      </c>
      <c r="K38" s="153">
        <f>K26+10</f>
        <v>60</v>
      </c>
      <c r="L38" s="48">
        <f>H38+J38+K38</f>
        <v>20000</v>
      </c>
      <c r="M38" s="11"/>
      <c r="N38" s="11"/>
    </row>
    <row r="39" spans="2:14" ht="24.95" customHeight="1" thickBot="1">
      <c r="B39" s="79" t="s">
        <v>44</v>
      </c>
      <c r="C39" s="157">
        <f>SUM(C34:C38)</f>
        <v>59.5</v>
      </c>
      <c r="D39" s="52">
        <f>'arbitage Indus B'!D39</f>
        <v>960</v>
      </c>
      <c r="E39" s="52">
        <f>'arbitage Indus B'!E39</f>
        <v>950</v>
      </c>
      <c r="F39" s="52">
        <f>'arbitage Indus B'!F39</f>
        <v>825</v>
      </c>
      <c r="G39" s="52">
        <f>'arbitage Indus B'!G39</f>
        <v>11100</v>
      </c>
      <c r="H39" s="21">
        <f>'arbitage Indus B'!H39</f>
        <v>13877</v>
      </c>
      <c r="I39" s="148">
        <f>SUM(I34:I38)</f>
        <v>13950</v>
      </c>
      <c r="J39" s="162">
        <f>SUM(J34:J38)</f>
        <v>10490.5</v>
      </c>
      <c r="K39" s="155">
        <f>SUM(K34:K38)</f>
        <v>1965</v>
      </c>
      <c r="L39" s="147">
        <f>SUM(L34:L38)</f>
        <v>26350</v>
      </c>
      <c r="M39" s="11"/>
      <c r="N39" s="11"/>
    </row>
    <row r="40" spans="2:14" ht="24.95" customHeight="1">
      <c r="B40" s="79" t="s">
        <v>28</v>
      </c>
      <c r="C40" s="157">
        <f>C41-C39</f>
        <v>290.5</v>
      </c>
      <c r="D40" s="52">
        <f>'arbitage Indus B'!D40</f>
        <v>1040</v>
      </c>
      <c r="E40" s="52">
        <f>'arbitage Indus B'!E40</f>
        <v>1550</v>
      </c>
      <c r="F40" s="52">
        <f>'arbitage Indus B'!F40</f>
        <v>675</v>
      </c>
      <c r="G40" s="52">
        <f>'arbitage Indus B'!G40</f>
        <v>8900</v>
      </c>
      <c r="H40" s="53">
        <f>SUM(C40:G40)</f>
        <v>12455.5</v>
      </c>
      <c r="I40" s="21"/>
      <c r="J40" s="301" t="s">
        <v>51</v>
      </c>
      <c r="K40" s="302" t="s">
        <v>52</v>
      </c>
      <c r="L40" s="302">
        <f>J39+K39</f>
        <v>12455.5</v>
      </c>
      <c r="M40" s="11"/>
      <c r="N40" s="11"/>
    </row>
    <row r="41" spans="2:14" ht="24.95" customHeight="1" thickBot="1">
      <c r="B41" s="82" t="s">
        <v>10</v>
      </c>
      <c r="C41" s="158">
        <f>C4</f>
        <v>350</v>
      </c>
      <c r="D41" s="68">
        <f>C5</f>
        <v>2000</v>
      </c>
      <c r="E41" s="68">
        <f>C6</f>
        <v>2500</v>
      </c>
      <c r="F41" s="68">
        <f>F29</f>
        <v>1500</v>
      </c>
      <c r="G41" s="68">
        <f>C8</f>
        <v>20000</v>
      </c>
      <c r="H41" s="57">
        <f>SUM(C41:G41)</f>
        <v>26350</v>
      </c>
      <c r="I41" s="21"/>
      <c r="J41" s="301" t="s">
        <v>9</v>
      </c>
      <c r="K41" s="302" t="s">
        <v>55</v>
      </c>
      <c r="L41" s="302">
        <f>H40</f>
        <v>12455.5</v>
      </c>
      <c r="M41" s="11"/>
      <c r="N41" s="11"/>
    </row>
    <row r="42" spans="2:14" ht="16.5" thickTop="1">
      <c r="B42" s="103" t="s">
        <v>30</v>
      </c>
      <c r="C42" s="92"/>
      <c r="D42" s="92"/>
      <c r="E42" s="104"/>
    </row>
    <row r="43" spans="2:14" ht="31.5">
      <c r="B43" s="105" t="s">
        <v>39</v>
      </c>
      <c r="C43" s="93"/>
      <c r="D43" s="93"/>
      <c r="E43" s="106"/>
    </row>
    <row r="44" spans="2:14" ht="32.25" thickBot="1">
      <c r="B44" s="107" t="s">
        <v>43</v>
      </c>
      <c r="C44" s="108"/>
      <c r="D44" s="108"/>
      <c r="E44" s="109"/>
    </row>
    <row r="45" spans="2:14" ht="13.5" thickTop="1"/>
  </sheetData>
  <mergeCells count="10">
    <mergeCell ref="C20:H20"/>
    <mergeCell ref="L20:L21"/>
    <mergeCell ref="B32:B33"/>
    <mergeCell ref="C32:H32"/>
    <mergeCell ref="J32:J33"/>
    <mergeCell ref="K32:K33"/>
    <mergeCell ref="L32:L33"/>
    <mergeCell ref="J20:J21"/>
    <mergeCell ref="K20:K21"/>
    <mergeCell ref="B20:B2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N44"/>
  <sheetViews>
    <sheetView topLeftCell="A24" workbookViewId="0">
      <selection activeCell="K7" sqref="K7"/>
    </sheetView>
  </sheetViews>
  <sheetFormatPr baseColWidth="10" defaultColWidth="9.140625" defaultRowHeight="12.75"/>
  <cols>
    <col min="1" max="1" width="11.42578125" customWidth="1"/>
    <col min="2" max="12" width="18.7109375" customWidth="1"/>
    <col min="13" max="14" width="15.5703125" customWidth="1"/>
    <col min="15" max="15" width="2" customWidth="1"/>
    <col min="16" max="256" width="11.42578125" customWidth="1"/>
  </cols>
  <sheetData>
    <row r="1" spans="2:14" ht="18.75" thickBot="1">
      <c r="B1" s="366" t="s">
        <v>62</v>
      </c>
    </row>
    <row r="2" spans="2:14" ht="24.95" customHeight="1" thickTop="1" thickBot="1">
      <c r="B2" s="163" t="s">
        <v>23</v>
      </c>
      <c r="C2" s="164" t="s">
        <v>32</v>
      </c>
      <c r="D2" s="165"/>
      <c r="E2" s="165"/>
      <c r="F2" s="164" t="s">
        <v>17</v>
      </c>
      <c r="G2" s="165"/>
      <c r="H2" s="165"/>
      <c r="I2" s="166"/>
      <c r="J2" s="167"/>
      <c r="K2" s="168"/>
      <c r="L2" s="168"/>
      <c r="M2" s="11"/>
      <c r="N2" s="11"/>
    </row>
    <row r="3" spans="2:14" ht="24.95" customHeight="1">
      <c r="B3" s="169"/>
      <c r="C3" s="170" t="s">
        <v>6</v>
      </c>
      <c r="D3" s="170" t="s">
        <v>7</v>
      </c>
      <c r="E3" s="170" t="s">
        <v>0</v>
      </c>
      <c r="F3" s="170" t="s">
        <v>1</v>
      </c>
      <c r="G3" s="171"/>
      <c r="H3" s="172" t="s">
        <v>2</v>
      </c>
      <c r="I3" s="173"/>
      <c r="J3" s="168"/>
      <c r="K3" s="168"/>
      <c r="L3" s="168"/>
      <c r="M3" s="11"/>
      <c r="N3" s="11"/>
    </row>
    <row r="4" spans="2:14" ht="24.95" customHeight="1">
      <c r="B4" s="174" t="s">
        <v>5</v>
      </c>
      <c r="C4" s="175">
        <v>350</v>
      </c>
      <c r="D4" s="175">
        <v>200</v>
      </c>
      <c r="E4" s="175">
        <v>150</v>
      </c>
      <c r="F4" s="175"/>
      <c r="G4" s="176"/>
      <c r="H4" s="177">
        <f>SUM(D4:F4)</f>
        <v>350</v>
      </c>
      <c r="I4" s="178"/>
      <c r="J4" s="168"/>
      <c r="K4" s="168"/>
      <c r="L4" s="168"/>
      <c r="M4" s="22"/>
      <c r="N4" s="23"/>
    </row>
    <row r="5" spans="2:14" ht="24.95" customHeight="1">
      <c r="B5" s="174" t="s">
        <v>19</v>
      </c>
      <c r="C5" s="175">
        <v>2000</v>
      </c>
      <c r="D5" s="175">
        <v>900</v>
      </c>
      <c r="E5" s="175">
        <v>800</v>
      </c>
      <c r="F5" s="175">
        <v>300</v>
      </c>
      <c r="G5" s="176"/>
      <c r="H5" s="177">
        <f>SUM(D5:F5)</f>
        <v>2000</v>
      </c>
      <c r="I5" s="178"/>
      <c r="J5" s="168"/>
      <c r="K5" s="168"/>
      <c r="L5" s="168"/>
      <c r="M5" s="11"/>
      <c r="N5" s="23"/>
    </row>
    <row r="6" spans="2:14" ht="24.95" customHeight="1">
      <c r="B6" s="174" t="s">
        <v>20</v>
      </c>
      <c r="C6" s="175">
        <v>2500</v>
      </c>
      <c r="D6" s="175">
        <v>1000</v>
      </c>
      <c r="E6" s="175">
        <v>700</v>
      </c>
      <c r="F6" s="175">
        <v>800</v>
      </c>
      <c r="G6" s="176"/>
      <c r="H6" s="177">
        <f>SUM(D6:F6)</f>
        <v>2500</v>
      </c>
      <c r="I6" s="178"/>
      <c r="J6" s="168"/>
      <c r="K6" s="168"/>
      <c r="L6" s="168"/>
      <c r="M6" s="11"/>
      <c r="N6" s="23"/>
    </row>
    <row r="7" spans="2:14" ht="24.95" customHeight="1">
      <c r="B7" s="174" t="s">
        <v>29</v>
      </c>
      <c r="C7" s="175">
        <v>1500</v>
      </c>
      <c r="D7" s="175">
        <v>600</v>
      </c>
      <c r="E7" s="175">
        <v>100</v>
      </c>
      <c r="F7" s="175">
        <v>800</v>
      </c>
      <c r="G7" s="176"/>
      <c r="H7" s="177">
        <f>SUM(D7:F7)</f>
        <v>1500</v>
      </c>
      <c r="I7" s="178"/>
      <c r="J7" s="168"/>
      <c r="K7" s="168"/>
      <c r="L7" s="168"/>
      <c r="M7" s="11"/>
      <c r="N7" s="23"/>
    </row>
    <row r="8" spans="2:14" ht="24.95" customHeight="1">
      <c r="B8" s="169" t="s">
        <v>4</v>
      </c>
      <c r="C8" s="170">
        <v>20000</v>
      </c>
      <c r="D8" s="170">
        <f>C8-F8-E8</f>
        <v>11250</v>
      </c>
      <c r="E8" s="170">
        <v>8700</v>
      </c>
      <c r="F8" s="170">
        <v>50</v>
      </c>
      <c r="G8" s="176"/>
      <c r="H8" s="177">
        <f>SUM(D8:F8)</f>
        <v>20000</v>
      </c>
      <c r="I8" s="178"/>
      <c r="J8" s="168"/>
      <c r="K8" s="168"/>
      <c r="L8" s="168"/>
      <c r="M8" s="11"/>
      <c r="N8" s="23"/>
    </row>
    <row r="9" spans="2:14" ht="24.95" customHeight="1" thickBot="1">
      <c r="B9" s="179" t="s">
        <v>2</v>
      </c>
      <c r="C9" s="180">
        <f>SUM(C4:C8)</f>
        <v>26350</v>
      </c>
      <c r="D9" s="180">
        <f>SUM(D4:D8)</f>
        <v>13950</v>
      </c>
      <c r="E9" s="180">
        <f>SUM(E4:E8)</f>
        <v>10450</v>
      </c>
      <c r="F9" s="180">
        <f>SUM(F4:F8)</f>
        <v>1950</v>
      </c>
      <c r="G9" s="180"/>
      <c r="H9" s="180">
        <f>SUM(H4:H8)</f>
        <v>26350</v>
      </c>
      <c r="I9" s="181"/>
      <c r="J9" s="168"/>
      <c r="K9" s="168"/>
      <c r="L9" s="168"/>
      <c r="M9" s="11"/>
      <c r="N9" s="23"/>
    </row>
    <row r="10" spans="2:14" ht="24.95" customHeight="1" thickTop="1"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1"/>
      <c r="N10" s="23"/>
    </row>
    <row r="11" spans="2:14" ht="24.95" customHeight="1" thickBot="1">
      <c r="B11" s="182" t="s">
        <v>13</v>
      </c>
      <c r="C11" s="182"/>
      <c r="D11" s="182"/>
      <c r="E11" s="182"/>
      <c r="F11" s="182"/>
      <c r="G11" s="182"/>
      <c r="H11" s="168"/>
      <c r="I11" s="168"/>
      <c r="J11" s="168"/>
      <c r="K11" s="168"/>
      <c r="L11" s="168"/>
      <c r="M11" s="11"/>
      <c r="N11" s="23"/>
    </row>
    <row r="12" spans="2:14" ht="24.95" customHeight="1" thickBot="1">
      <c r="B12" s="182"/>
      <c r="C12" s="183" t="s">
        <v>31</v>
      </c>
      <c r="D12" s="184" t="s">
        <v>21</v>
      </c>
      <c r="E12" s="184" t="s">
        <v>22</v>
      </c>
      <c r="F12" s="184" t="s">
        <v>29</v>
      </c>
      <c r="G12" s="185" t="s">
        <v>4</v>
      </c>
      <c r="H12" s="168"/>
      <c r="I12" s="168"/>
      <c r="J12" s="168"/>
      <c r="K12" s="168"/>
      <c r="L12" s="168"/>
      <c r="M12" s="11"/>
      <c r="N12" s="23"/>
    </row>
    <row r="13" spans="2:14" ht="24.95" customHeight="1">
      <c r="B13" s="186" t="s">
        <v>5</v>
      </c>
      <c r="C13" s="187">
        <v>5</v>
      </c>
      <c r="D13" s="187">
        <v>10</v>
      </c>
      <c r="E13" s="187">
        <v>0</v>
      </c>
      <c r="F13" s="188">
        <v>0</v>
      </c>
      <c r="G13" s="189"/>
      <c r="H13" s="168"/>
      <c r="I13" s="168"/>
      <c r="J13" s="168"/>
      <c r="K13" s="168"/>
      <c r="L13" s="168"/>
      <c r="M13" s="11"/>
      <c r="N13" s="23"/>
    </row>
    <row r="14" spans="2:14" ht="24.95" customHeight="1">
      <c r="B14" s="190" t="s">
        <v>19</v>
      </c>
      <c r="C14" s="187">
        <v>7</v>
      </c>
      <c r="D14" s="187">
        <v>15</v>
      </c>
      <c r="E14" s="187">
        <v>5</v>
      </c>
      <c r="F14" s="187">
        <v>20</v>
      </c>
      <c r="G14" s="189">
        <v>1</v>
      </c>
      <c r="H14" s="168"/>
      <c r="I14" s="168"/>
      <c r="J14" s="168"/>
      <c r="K14" s="168"/>
      <c r="L14" s="168"/>
      <c r="M14" s="11"/>
      <c r="N14" s="23"/>
    </row>
    <row r="15" spans="2:14" ht="24.95" customHeight="1">
      <c r="B15" s="190" t="s">
        <v>20</v>
      </c>
      <c r="C15" s="187">
        <v>0</v>
      </c>
      <c r="D15" s="187">
        <v>13</v>
      </c>
      <c r="E15" s="187">
        <v>27</v>
      </c>
      <c r="F15" s="188">
        <v>5</v>
      </c>
      <c r="G15" s="189">
        <v>0</v>
      </c>
      <c r="H15" s="168"/>
      <c r="I15" s="168"/>
      <c r="J15" s="168"/>
      <c r="K15" s="168"/>
      <c r="L15" s="168"/>
      <c r="M15" s="11"/>
      <c r="N15" s="23"/>
    </row>
    <row r="16" spans="2:14" ht="24.95" customHeight="1">
      <c r="B16" s="191" t="s">
        <v>29</v>
      </c>
      <c r="C16" s="187">
        <v>0</v>
      </c>
      <c r="D16" s="187">
        <v>2</v>
      </c>
      <c r="E16" s="188">
        <v>0</v>
      </c>
      <c r="F16" s="187">
        <v>15</v>
      </c>
      <c r="G16" s="189">
        <v>2</v>
      </c>
      <c r="H16" s="168"/>
      <c r="I16" s="168"/>
      <c r="J16" s="168"/>
      <c r="K16" s="168"/>
      <c r="L16" s="168"/>
      <c r="M16" s="11"/>
      <c r="N16" s="23"/>
    </row>
    <row r="17" spans="2:14" ht="24.95" customHeight="1" thickBot="1">
      <c r="B17" s="192" t="s">
        <v>4</v>
      </c>
      <c r="C17" s="193">
        <v>5</v>
      </c>
      <c r="D17" s="193">
        <v>8</v>
      </c>
      <c r="E17" s="193">
        <v>6</v>
      </c>
      <c r="F17" s="193">
        <v>15</v>
      </c>
      <c r="G17" s="194">
        <v>52.5</v>
      </c>
      <c r="H17" s="168"/>
      <c r="I17" s="168"/>
      <c r="J17" s="168"/>
      <c r="K17" s="168"/>
      <c r="L17" s="168"/>
      <c r="M17" s="11"/>
      <c r="N17" s="23"/>
    </row>
    <row r="18" spans="2:14" ht="24.95" customHeight="1"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1"/>
      <c r="N18" s="23"/>
    </row>
    <row r="19" spans="2:14" ht="24.95" customHeight="1" thickBot="1">
      <c r="B19" s="182" t="s">
        <v>14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1"/>
      <c r="N19" s="23"/>
    </row>
    <row r="20" spans="2:14" ht="24.95" customHeight="1" thickTop="1">
      <c r="B20" s="389" t="s">
        <v>33</v>
      </c>
      <c r="C20" s="381" t="s">
        <v>8</v>
      </c>
      <c r="D20" s="382"/>
      <c r="E20" s="382"/>
      <c r="F20" s="382"/>
      <c r="G20" s="382"/>
      <c r="H20" s="383"/>
      <c r="I20" s="195" t="s">
        <v>7</v>
      </c>
      <c r="J20" s="386" t="s">
        <v>0</v>
      </c>
      <c r="K20" s="384" t="s">
        <v>18</v>
      </c>
      <c r="L20" s="408" t="s">
        <v>2</v>
      </c>
      <c r="N20" s="49" t="s">
        <v>26</v>
      </c>
    </row>
    <row r="21" spans="2:14" ht="24.95" customHeight="1" thickBot="1">
      <c r="B21" s="390"/>
      <c r="C21" s="196" t="s">
        <v>3</v>
      </c>
      <c r="D21" s="197" t="s">
        <v>21</v>
      </c>
      <c r="E21" s="197" t="s">
        <v>22</v>
      </c>
      <c r="F21" s="197" t="s">
        <v>29</v>
      </c>
      <c r="G21" s="197" t="s">
        <v>4</v>
      </c>
      <c r="H21" s="198" t="s">
        <v>2</v>
      </c>
      <c r="I21" s="199" t="s">
        <v>23</v>
      </c>
      <c r="J21" s="387"/>
      <c r="K21" s="388"/>
      <c r="L21" s="410"/>
      <c r="N21" s="54" t="s">
        <v>25</v>
      </c>
    </row>
    <row r="22" spans="2:14" ht="24.95" customHeight="1" thickTop="1">
      <c r="B22" s="200" t="s">
        <v>5</v>
      </c>
      <c r="C22" s="267">
        <f>C13*$C$4/100</f>
        <v>17.5</v>
      </c>
      <c r="D22" s="201">
        <f>D13*$C$5/100</f>
        <v>200</v>
      </c>
      <c r="E22" s="201">
        <f>E13*$C$6/100</f>
        <v>0</v>
      </c>
      <c r="F22" s="201">
        <f>F13*$C$7/100</f>
        <v>0</v>
      </c>
      <c r="G22" s="201">
        <f>G13*$C$8/100</f>
        <v>0</v>
      </c>
      <c r="H22" s="202">
        <f t="shared" ref="H22:H27" si="0">SUM(C22:G22)</f>
        <v>217.5</v>
      </c>
      <c r="I22" s="202">
        <f t="shared" ref="I22:K26" si="1">D4</f>
        <v>200</v>
      </c>
      <c r="J22" s="203">
        <f t="shared" si="1"/>
        <v>150</v>
      </c>
      <c r="K22" s="203">
        <f t="shared" si="1"/>
        <v>0</v>
      </c>
      <c r="L22" s="204">
        <f>H22+J22+K22</f>
        <v>367.5</v>
      </c>
      <c r="M22" s="116"/>
      <c r="N22" s="117">
        <f>H22/I22</f>
        <v>1.0874999999999999</v>
      </c>
    </row>
    <row r="23" spans="2:14" ht="24.95" customHeight="1">
      <c r="B23" s="200" t="s">
        <v>19</v>
      </c>
      <c r="C23" s="236">
        <f>C14*$C$4/100</f>
        <v>24.5</v>
      </c>
      <c r="D23" s="205">
        <f>D14*$C$5/100</f>
        <v>300</v>
      </c>
      <c r="E23" s="205">
        <f>E14*$C$6/100</f>
        <v>125</v>
      </c>
      <c r="F23" s="205">
        <f>F14*$C$7/100</f>
        <v>300</v>
      </c>
      <c r="G23" s="205">
        <f>G14*$C$8/100</f>
        <v>200</v>
      </c>
      <c r="H23" s="206">
        <f t="shared" si="0"/>
        <v>949.5</v>
      </c>
      <c r="I23" s="206">
        <f t="shared" si="1"/>
        <v>900</v>
      </c>
      <c r="J23" s="203">
        <f t="shared" si="1"/>
        <v>800</v>
      </c>
      <c r="K23" s="203">
        <f t="shared" si="1"/>
        <v>300</v>
      </c>
      <c r="L23" s="207">
        <f>H23+J23+K23</f>
        <v>2049.5</v>
      </c>
      <c r="M23" s="116"/>
      <c r="N23" s="118">
        <f>H23/I23</f>
        <v>1.0549999999999999</v>
      </c>
    </row>
    <row r="24" spans="2:14" ht="24.95" customHeight="1">
      <c r="B24" s="200" t="s">
        <v>20</v>
      </c>
      <c r="C24" s="236">
        <f>C15*$C$4/100</f>
        <v>0</v>
      </c>
      <c r="D24" s="205">
        <f>D15*$C$5/100</f>
        <v>260</v>
      </c>
      <c r="E24" s="205">
        <f>E15*$C$6/100</f>
        <v>675</v>
      </c>
      <c r="F24" s="205">
        <f>F15*$C$7/100</f>
        <v>75</v>
      </c>
      <c r="G24" s="205">
        <f>G15*$C$8/100</f>
        <v>0</v>
      </c>
      <c r="H24" s="206">
        <f t="shared" si="0"/>
        <v>1010</v>
      </c>
      <c r="I24" s="206">
        <f t="shared" si="1"/>
        <v>1000</v>
      </c>
      <c r="J24" s="203">
        <f t="shared" si="1"/>
        <v>700</v>
      </c>
      <c r="K24" s="203">
        <f t="shared" si="1"/>
        <v>800</v>
      </c>
      <c r="L24" s="207">
        <f>H24+J24+K24</f>
        <v>2510</v>
      </c>
      <c r="M24" s="120"/>
      <c r="N24" s="118">
        <f>H24/I24</f>
        <v>1.01</v>
      </c>
    </row>
    <row r="25" spans="2:14" ht="24.95" customHeight="1">
      <c r="B25" s="200" t="s">
        <v>29</v>
      </c>
      <c r="C25" s="236">
        <f>C16*$C$4/100</f>
        <v>0</v>
      </c>
      <c r="D25" s="205">
        <f>D16*$C$5/100</f>
        <v>40</v>
      </c>
      <c r="E25" s="205">
        <f>E16*$C$6/100</f>
        <v>0</v>
      </c>
      <c r="F25" s="205">
        <f>F16*$C$7/100</f>
        <v>225</v>
      </c>
      <c r="G25" s="205">
        <f>G16*$C$8/100</f>
        <v>400</v>
      </c>
      <c r="H25" s="206">
        <f t="shared" si="0"/>
        <v>665</v>
      </c>
      <c r="I25" s="206">
        <f t="shared" si="1"/>
        <v>600</v>
      </c>
      <c r="J25" s="203">
        <f t="shared" si="1"/>
        <v>100</v>
      </c>
      <c r="K25" s="203">
        <f t="shared" si="1"/>
        <v>800</v>
      </c>
      <c r="L25" s="207">
        <f>H25+J25+K25</f>
        <v>1565</v>
      </c>
      <c r="M25" s="120"/>
      <c r="N25" s="118">
        <f>H25/I25</f>
        <v>1.1083333333333334</v>
      </c>
    </row>
    <row r="26" spans="2:14" ht="24.95" customHeight="1" thickBot="1">
      <c r="B26" s="200" t="s">
        <v>4</v>
      </c>
      <c r="C26" s="236">
        <f>C17*$C$4/100</f>
        <v>17.5</v>
      </c>
      <c r="D26" s="205">
        <f>D17*$C$5/100</f>
        <v>160</v>
      </c>
      <c r="E26" s="205">
        <f>E17*$C$6/100</f>
        <v>150</v>
      </c>
      <c r="F26" s="205">
        <f>F17*$C$7/100</f>
        <v>225</v>
      </c>
      <c r="G26" s="205">
        <f>G17*$C$8/100</f>
        <v>10500</v>
      </c>
      <c r="H26" s="206">
        <f t="shared" si="0"/>
        <v>11052.5</v>
      </c>
      <c r="I26" s="208">
        <f t="shared" si="1"/>
        <v>11250</v>
      </c>
      <c r="J26" s="203">
        <f t="shared" si="1"/>
        <v>8700</v>
      </c>
      <c r="K26" s="203">
        <f t="shared" si="1"/>
        <v>50</v>
      </c>
      <c r="L26" s="209">
        <f>H26+J26+K26</f>
        <v>19802.5</v>
      </c>
      <c r="M26" s="120"/>
      <c r="N26" s="119">
        <f>H26/I26</f>
        <v>0.98244444444444445</v>
      </c>
    </row>
    <row r="27" spans="2:14" ht="24.95" customHeight="1" thickTop="1" thickBot="1">
      <c r="B27" s="258" t="s">
        <v>2</v>
      </c>
      <c r="C27" s="210">
        <f>SUM(C22:C26)</f>
        <v>59.5</v>
      </c>
      <c r="D27" s="205">
        <f>SUM(D22:D26)</f>
        <v>960</v>
      </c>
      <c r="E27" s="205">
        <f>SUM(E22:E26)</f>
        <v>950</v>
      </c>
      <c r="F27" s="205">
        <f>SUM(F22:F26)</f>
        <v>825</v>
      </c>
      <c r="G27" s="205">
        <f>SUM(G22:G26)</f>
        <v>11100</v>
      </c>
      <c r="H27" s="206">
        <f t="shared" si="0"/>
        <v>13894.5</v>
      </c>
      <c r="I27" s="211"/>
      <c r="J27" s="212">
        <f>SUM(J22:J26)</f>
        <v>10450</v>
      </c>
      <c r="K27" s="213">
        <f>SUM(K22:K26)</f>
        <v>1950</v>
      </c>
      <c r="L27" s="214">
        <f>SUM(L22:L26)</f>
        <v>26294.5</v>
      </c>
      <c r="M27" s="11"/>
      <c r="N27" s="23"/>
    </row>
    <row r="28" spans="2:14" ht="24.95" customHeight="1" thickTop="1">
      <c r="B28" s="258" t="s">
        <v>28</v>
      </c>
      <c r="C28" s="210">
        <f t="shared" ref="C28:H28" si="2">C29-C27</f>
        <v>290.5</v>
      </c>
      <c r="D28" s="205">
        <f t="shared" si="2"/>
        <v>1040</v>
      </c>
      <c r="E28" s="205">
        <f t="shared" si="2"/>
        <v>1550</v>
      </c>
      <c r="F28" s="205">
        <f t="shared" si="2"/>
        <v>675</v>
      </c>
      <c r="G28" s="205">
        <f t="shared" si="2"/>
        <v>8900</v>
      </c>
      <c r="H28" s="215">
        <f t="shared" si="2"/>
        <v>12455.5</v>
      </c>
      <c r="I28" s="178"/>
      <c r="J28" s="205"/>
      <c r="K28" s="216" t="s">
        <v>27</v>
      </c>
      <c r="L28" s="217">
        <f>SUM(J27:K28)</f>
        <v>12400</v>
      </c>
    </row>
    <row r="29" spans="2:14" ht="24.95" customHeight="1" thickBot="1">
      <c r="B29" s="259" t="s">
        <v>10</v>
      </c>
      <c r="C29" s="218">
        <f>C4</f>
        <v>350</v>
      </c>
      <c r="D29" s="219">
        <f>C5</f>
        <v>2000</v>
      </c>
      <c r="E29" s="219">
        <f>C6</f>
        <v>2500</v>
      </c>
      <c r="F29" s="219">
        <f>C7</f>
        <v>1500</v>
      </c>
      <c r="G29" s="219">
        <f>C8</f>
        <v>20000</v>
      </c>
      <c r="H29" s="208">
        <f>SUM(C29:G29)</f>
        <v>26350</v>
      </c>
      <c r="I29" s="178"/>
      <c r="J29" s="205"/>
      <c r="K29" s="220" t="s">
        <v>11</v>
      </c>
      <c r="L29" s="221">
        <f>C28+D28+G28+F28+E28</f>
        <v>12455.5</v>
      </c>
    </row>
    <row r="30" spans="2:14" ht="24.95" customHeight="1" thickTop="1"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1"/>
      <c r="N30" s="23"/>
    </row>
    <row r="31" spans="2:14" ht="24.95" customHeight="1" thickBot="1">
      <c r="B31" s="222" t="s">
        <v>15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1"/>
      <c r="N31" s="23"/>
    </row>
    <row r="32" spans="2:14" ht="24.95" customHeight="1" thickTop="1" thickBot="1">
      <c r="B32" s="389" t="s">
        <v>33</v>
      </c>
      <c r="C32" s="381" t="s">
        <v>8</v>
      </c>
      <c r="D32" s="407"/>
      <c r="E32" s="382"/>
      <c r="F32" s="382"/>
      <c r="G32" s="382"/>
      <c r="H32" s="383"/>
      <c r="I32" s="195" t="s">
        <v>7</v>
      </c>
      <c r="J32" s="386" t="s">
        <v>0</v>
      </c>
      <c r="K32" s="384" t="s">
        <v>18</v>
      </c>
      <c r="L32" s="408" t="s">
        <v>2</v>
      </c>
    </row>
    <row r="33" spans="2:14" ht="24.95" customHeight="1" thickBot="1">
      <c r="B33" s="406"/>
      <c r="C33" s="223" t="s">
        <v>3</v>
      </c>
      <c r="D33" s="264" t="s">
        <v>21</v>
      </c>
      <c r="E33" s="224" t="s">
        <v>22</v>
      </c>
      <c r="F33" s="225" t="s">
        <v>29</v>
      </c>
      <c r="G33" s="225" t="s">
        <v>4</v>
      </c>
      <c r="H33" s="226" t="s">
        <v>2</v>
      </c>
      <c r="I33" s="199" t="s">
        <v>23</v>
      </c>
      <c r="J33" s="387"/>
      <c r="K33" s="385"/>
      <c r="L33" s="409"/>
    </row>
    <row r="34" spans="2:14" ht="24.95" customHeight="1" thickTop="1">
      <c r="B34" s="227" t="s">
        <v>5</v>
      </c>
      <c r="C34" s="228">
        <f>C22</f>
        <v>17.5</v>
      </c>
      <c r="D34" s="265">
        <f>D22-17.5</f>
        <v>182.5</v>
      </c>
      <c r="E34" s="230">
        <f t="shared" ref="E34:F38" si="3">E22</f>
        <v>0</v>
      </c>
      <c r="F34" s="230">
        <f t="shared" si="3"/>
        <v>0</v>
      </c>
      <c r="G34" s="230">
        <f>G20*$C$8/100</f>
        <v>0</v>
      </c>
      <c r="H34" s="266">
        <f t="shared" ref="H34:H41" si="4">SUM(C34:G34)</f>
        <v>200</v>
      </c>
      <c r="I34" s="232">
        <f>Enoncé!I22</f>
        <v>200</v>
      </c>
      <c r="J34" s="203">
        <f t="shared" ref="J34:K36" si="5">J22</f>
        <v>150</v>
      </c>
      <c r="K34" s="204">
        <f t="shared" si="5"/>
        <v>0</v>
      </c>
      <c r="L34" s="206">
        <f>H34+J34+K34</f>
        <v>350</v>
      </c>
      <c r="M34" s="11"/>
      <c r="N34" s="11"/>
    </row>
    <row r="35" spans="2:14" ht="24.95" customHeight="1">
      <c r="B35" s="233" t="s">
        <v>19</v>
      </c>
      <c r="C35" s="234">
        <f>C23</f>
        <v>24.5</v>
      </c>
      <c r="D35" s="229">
        <f>D23-20</f>
        <v>280</v>
      </c>
      <c r="E35" s="229">
        <f>E23-10</f>
        <v>115</v>
      </c>
      <c r="F35" s="229">
        <f>F23-9.5</f>
        <v>290.5</v>
      </c>
      <c r="G35" s="229">
        <f>G23-10</f>
        <v>190</v>
      </c>
      <c r="H35" s="231">
        <f t="shared" si="4"/>
        <v>900</v>
      </c>
      <c r="I35" s="235">
        <f>I23</f>
        <v>900</v>
      </c>
      <c r="J35" s="203">
        <f t="shared" si="5"/>
        <v>800</v>
      </c>
      <c r="K35" s="260">
        <f t="shared" si="5"/>
        <v>300</v>
      </c>
      <c r="L35" s="206">
        <f>H35+J35+K35</f>
        <v>2000</v>
      </c>
      <c r="M35" s="11"/>
      <c r="N35" s="11"/>
    </row>
    <row r="36" spans="2:14" ht="24.95" customHeight="1">
      <c r="B36" s="233" t="s">
        <v>20</v>
      </c>
      <c r="C36" s="234">
        <f>C24</f>
        <v>0</v>
      </c>
      <c r="D36" s="237">
        <f>D24</f>
        <v>260</v>
      </c>
      <c r="E36" s="229">
        <f>E24-10</f>
        <v>665</v>
      </c>
      <c r="F36" s="178">
        <f t="shared" si="3"/>
        <v>75</v>
      </c>
      <c r="G36" s="178">
        <f>G24</f>
        <v>0</v>
      </c>
      <c r="H36" s="231">
        <f t="shared" si="4"/>
        <v>1000</v>
      </c>
      <c r="I36" s="235">
        <f>I24</f>
        <v>1000</v>
      </c>
      <c r="J36" s="203">
        <f t="shared" si="5"/>
        <v>700</v>
      </c>
      <c r="K36" s="261">
        <f t="shared" si="5"/>
        <v>800</v>
      </c>
      <c r="L36" s="206">
        <f>H36+J36+K36</f>
        <v>2500</v>
      </c>
      <c r="M36" s="11"/>
      <c r="N36" s="11"/>
    </row>
    <row r="37" spans="2:14" ht="24.95" customHeight="1">
      <c r="B37" s="233" t="s">
        <v>29</v>
      </c>
      <c r="C37" s="234">
        <f>C25</f>
        <v>0</v>
      </c>
      <c r="D37" s="238">
        <f>D25</f>
        <v>40</v>
      </c>
      <c r="E37" s="238">
        <f t="shared" si="3"/>
        <v>0</v>
      </c>
      <c r="F37" s="229">
        <f>F25-25</f>
        <v>200</v>
      </c>
      <c r="G37" s="229">
        <f>G25-60</f>
        <v>340</v>
      </c>
      <c r="H37" s="239">
        <f t="shared" si="4"/>
        <v>580</v>
      </c>
      <c r="I37" s="235">
        <f>I25</f>
        <v>600</v>
      </c>
      <c r="J37" s="203">
        <f>J25</f>
        <v>100</v>
      </c>
      <c r="K37" s="262">
        <f>K25+20</f>
        <v>820</v>
      </c>
      <c r="L37" s="206">
        <f>H37+J37+K37</f>
        <v>1500</v>
      </c>
      <c r="M37" s="11"/>
      <c r="N37" s="11"/>
    </row>
    <row r="38" spans="2:14" ht="24.95" customHeight="1" thickBot="1">
      <c r="B38" s="233" t="s">
        <v>4</v>
      </c>
      <c r="C38" s="234">
        <f>C26</f>
        <v>17.5</v>
      </c>
      <c r="D38" s="229">
        <f>D26+27.5</f>
        <v>187.5</v>
      </c>
      <c r="E38" s="238">
        <f t="shared" si="3"/>
        <v>150</v>
      </c>
      <c r="F38" s="178">
        <f>F26</f>
        <v>225</v>
      </c>
      <c r="G38" s="229">
        <f>G26+10.5+20+25+2.5+7.5-5+15+85-0.5</f>
        <v>10660</v>
      </c>
      <c r="H38" s="239">
        <f t="shared" si="4"/>
        <v>11240</v>
      </c>
      <c r="I38" s="235">
        <f>I26</f>
        <v>11250</v>
      </c>
      <c r="J38" s="203">
        <f>J26</f>
        <v>8700</v>
      </c>
      <c r="K38" s="263">
        <f>K26+10</f>
        <v>60</v>
      </c>
      <c r="L38" s="206">
        <f>H38+J38+K38</f>
        <v>20000</v>
      </c>
      <c r="M38" s="11"/>
      <c r="N38" s="11"/>
    </row>
    <row r="39" spans="2:14" ht="24.95" customHeight="1" thickBot="1">
      <c r="B39" s="256" t="s">
        <v>44</v>
      </c>
      <c r="C39" s="234">
        <f>SUM(C34:C38)</f>
        <v>59.5</v>
      </c>
      <c r="D39" s="229">
        <f>SUM(D34:D38)</f>
        <v>950</v>
      </c>
      <c r="E39" s="238">
        <f>SUM(E34:E38)</f>
        <v>930</v>
      </c>
      <c r="F39" s="229">
        <f>SUM(F34:F38)</f>
        <v>790.5</v>
      </c>
      <c r="G39" s="229">
        <f>SUM(G34:G38)</f>
        <v>11190</v>
      </c>
      <c r="H39" s="239">
        <f t="shared" si="4"/>
        <v>13920</v>
      </c>
      <c r="I39" s="240">
        <f>SUM(I34:I38)</f>
        <v>13950</v>
      </c>
      <c r="J39" s="241">
        <f>SUM(J34:J38)</f>
        <v>10450</v>
      </c>
      <c r="K39" s="263">
        <f>SUM(K34:K38)</f>
        <v>1980</v>
      </c>
      <c r="L39" s="242">
        <f>SUM(L34:L38)</f>
        <v>26350</v>
      </c>
      <c r="M39" s="11"/>
      <c r="N39" s="11"/>
    </row>
    <row r="40" spans="2:14" ht="24.95" customHeight="1" thickTop="1">
      <c r="B40" s="256" t="s">
        <v>28</v>
      </c>
      <c r="C40" s="234">
        <f>C41-C39</f>
        <v>290.5</v>
      </c>
      <c r="D40" s="229">
        <f>D41-D39</f>
        <v>1050</v>
      </c>
      <c r="E40" s="238">
        <f>E41-E39</f>
        <v>1570</v>
      </c>
      <c r="F40" s="229">
        <f>F41-F39</f>
        <v>709.5</v>
      </c>
      <c r="G40" s="229">
        <f>G41-G39</f>
        <v>8810</v>
      </c>
      <c r="H40" s="239">
        <f t="shared" si="4"/>
        <v>12430</v>
      </c>
      <c r="I40" s="178"/>
      <c r="J40" s="243"/>
      <c r="K40" s="244" t="s">
        <v>12</v>
      </c>
      <c r="L40" s="245">
        <f>SUM(J39:K39)</f>
        <v>12430</v>
      </c>
      <c r="M40" s="11"/>
      <c r="N40" s="11"/>
    </row>
    <row r="41" spans="2:14" ht="24.95" customHeight="1" thickBot="1">
      <c r="B41" s="257" t="s">
        <v>10</v>
      </c>
      <c r="C41" s="246">
        <f>C4</f>
        <v>350</v>
      </c>
      <c r="D41" s="247">
        <f>C5</f>
        <v>2000</v>
      </c>
      <c r="E41" s="247">
        <f>C6</f>
        <v>2500</v>
      </c>
      <c r="F41" s="247">
        <f>F29</f>
        <v>1500</v>
      </c>
      <c r="G41" s="247">
        <f>C8</f>
        <v>20000</v>
      </c>
      <c r="H41" s="248">
        <f t="shared" si="4"/>
        <v>26350</v>
      </c>
      <c r="I41" s="178"/>
      <c r="J41" s="249"/>
      <c r="K41" s="244" t="s">
        <v>11</v>
      </c>
      <c r="L41" s="245">
        <f>C40+D40+G40+F40+E40</f>
        <v>12430</v>
      </c>
      <c r="M41" s="11"/>
      <c r="N41" s="115"/>
    </row>
    <row r="42" spans="2:14" ht="24.95" customHeight="1" thickTop="1">
      <c r="B42" s="250" t="s">
        <v>30</v>
      </c>
      <c r="C42" s="251"/>
      <c r="D42" s="251"/>
      <c r="E42" s="252"/>
      <c r="I42" s="10"/>
      <c r="J42" s="10"/>
      <c r="K42" s="10"/>
      <c r="L42" s="10"/>
      <c r="M42" s="11"/>
      <c r="N42" s="11"/>
    </row>
    <row r="43" spans="2:14" ht="21.75" customHeight="1" thickBot="1">
      <c r="B43" s="253" t="s">
        <v>45</v>
      </c>
      <c r="C43" s="254"/>
      <c r="D43" s="254"/>
      <c r="E43" s="255"/>
    </row>
    <row r="44" spans="2:14" ht="13.5" thickTop="1"/>
  </sheetData>
  <mergeCells count="10">
    <mergeCell ref="B20:B21"/>
    <mergeCell ref="C20:H20"/>
    <mergeCell ref="J20:J21"/>
    <mergeCell ref="K20:K21"/>
    <mergeCell ref="L20:L21"/>
    <mergeCell ref="B32:B33"/>
    <mergeCell ref="C32:H32"/>
    <mergeCell ref="J32:J33"/>
    <mergeCell ref="K32:K33"/>
    <mergeCell ref="L32:L3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O75"/>
  <sheetViews>
    <sheetView topLeftCell="A60" zoomScale="120" zoomScaleNormal="120" workbookViewId="0">
      <selection activeCell="I60" sqref="I60"/>
    </sheetView>
  </sheetViews>
  <sheetFormatPr baseColWidth="10" defaultColWidth="9.140625" defaultRowHeight="24.95" customHeight="1"/>
  <cols>
    <col min="1" max="1" width="11.42578125" customWidth="1"/>
    <col min="2" max="3" width="18.7109375" customWidth="1"/>
    <col min="4" max="4" width="17.42578125" customWidth="1"/>
    <col min="5" max="12" width="18.7109375" customWidth="1"/>
    <col min="13" max="14" width="15.5703125" customWidth="1"/>
    <col min="15" max="15" width="8.140625" customWidth="1"/>
    <col min="16" max="256" width="11.42578125" customWidth="1"/>
  </cols>
  <sheetData>
    <row r="1" spans="2:14" ht="24.95" customHeight="1" thickBot="1">
      <c r="B1" s="182" t="s">
        <v>41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2:14" ht="24.95" customHeight="1" thickTop="1" thickBot="1">
      <c r="B2" s="163" t="s">
        <v>23</v>
      </c>
      <c r="C2" s="164" t="s">
        <v>32</v>
      </c>
      <c r="D2" s="165"/>
      <c r="E2" s="165"/>
      <c r="F2" s="164" t="s">
        <v>17</v>
      </c>
      <c r="G2" s="165"/>
      <c r="H2" s="165"/>
      <c r="I2" s="284" t="s">
        <v>13</v>
      </c>
      <c r="J2" s="182"/>
      <c r="K2" s="182"/>
      <c r="L2" s="182"/>
      <c r="M2" s="182"/>
      <c r="N2" s="182"/>
    </row>
    <row r="3" spans="2:14" ht="24.95" customHeight="1" thickBot="1">
      <c r="B3" s="169"/>
      <c r="C3" s="170" t="s">
        <v>6</v>
      </c>
      <c r="D3" s="170" t="s">
        <v>7</v>
      </c>
      <c r="E3" s="170" t="s">
        <v>0</v>
      </c>
      <c r="F3" s="170" t="s">
        <v>1</v>
      </c>
      <c r="G3" s="171"/>
      <c r="H3" s="303" t="s">
        <v>2</v>
      </c>
      <c r="I3" s="304"/>
      <c r="J3" s="184" t="s">
        <v>31</v>
      </c>
      <c r="K3" s="184" t="s">
        <v>21</v>
      </c>
      <c r="L3" s="184" t="s">
        <v>22</v>
      </c>
      <c r="M3" s="184" t="s">
        <v>29</v>
      </c>
      <c r="N3" s="185" t="s">
        <v>4</v>
      </c>
    </row>
    <row r="4" spans="2:14" ht="24.95" customHeight="1">
      <c r="B4" s="174" t="s">
        <v>5</v>
      </c>
      <c r="C4" s="175">
        <v>350</v>
      </c>
      <c r="D4" s="175">
        <v>200</v>
      </c>
      <c r="E4" s="175">
        <v>150</v>
      </c>
      <c r="F4" s="175"/>
      <c r="G4" s="176"/>
      <c r="H4" s="305">
        <f>SUM(D4:F4)</f>
        <v>350</v>
      </c>
      <c r="I4" s="307" t="s">
        <v>5</v>
      </c>
      <c r="J4" s="187">
        <v>5</v>
      </c>
      <c r="K4" s="187">
        <v>10</v>
      </c>
      <c r="L4" s="187">
        <v>0</v>
      </c>
      <c r="M4" s="188">
        <v>0</v>
      </c>
      <c r="N4" s="189"/>
    </row>
    <row r="5" spans="2:14" ht="24.95" customHeight="1">
      <c r="B5" s="174" t="s">
        <v>19</v>
      </c>
      <c r="C5" s="175">
        <v>2000</v>
      </c>
      <c r="D5" s="175">
        <v>900</v>
      </c>
      <c r="E5" s="175">
        <v>800</v>
      </c>
      <c r="F5" s="175">
        <v>300</v>
      </c>
      <c r="G5" s="176"/>
      <c r="H5" s="305">
        <f>SUM(D5:F5)</f>
        <v>2000</v>
      </c>
      <c r="I5" s="307" t="s">
        <v>19</v>
      </c>
      <c r="J5" s="187">
        <v>7</v>
      </c>
      <c r="K5" s="187">
        <v>15</v>
      </c>
      <c r="L5" s="187">
        <v>5</v>
      </c>
      <c r="M5" s="187">
        <v>20</v>
      </c>
      <c r="N5" s="189">
        <v>1</v>
      </c>
    </row>
    <row r="6" spans="2:14" ht="24.95" customHeight="1">
      <c r="B6" s="174" t="s">
        <v>20</v>
      </c>
      <c r="C6" s="175">
        <v>2500</v>
      </c>
      <c r="D6" s="175">
        <v>1000</v>
      </c>
      <c r="E6" s="175">
        <v>700</v>
      </c>
      <c r="F6" s="175">
        <v>800</v>
      </c>
      <c r="G6" s="176"/>
      <c r="H6" s="305">
        <f>SUM(D6:F6)</f>
        <v>2500</v>
      </c>
      <c r="I6" s="307" t="s">
        <v>20</v>
      </c>
      <c r="J6" s="187">
        <v>0</v>
      </c>
      <c r="K6" s="187">
        <v>13</v>
      </c>
      <c r="L6" s="187">
        <v>27</v>
      </c>
      <c r="M6" s="188">
        <v>5</v>
      </c>
      <c r="N6" s="189">
        <v>0</v>
      </c>
    </row>
    <row r="7" spans="2:14" ht="24.95" customHeight="1">
      <c r="B7" s="174" t="s">
        <v>29</v>
      </c>
      <c r="C7" s="175">
        <v>1500</v>
      </c>
      <c r="D7" s="175">
        <v>600</v>
      </c>
      <c r="E7" s="175">
        <v>100</v>
      </c>
      <c r="F7" s="175">
        <v>800</v>
      </c>
      <c r="G7" s="176"/>
      <c r="H7" s="305">
        <f>SUM(D7:F7)</f>
        <v>1500</v>
      </c>
      <c r="I7" s="307" t="s">
        <v>29</v>
      </c>
      <c r="J7" s="187">
        <v>0</v>
      </c>
      <c r="K7" s="187">
        <v>2</v>
      </c>
      <c r="L7" s="188">
        <v>0</v>
      </c>
      <c r="M7" s="187">
        <v>15</v>
      </c>
      <c r="N7" s="189">
        <v>2</v>
      </c>
    </row>
    <row r="8" spans="2:14" ht="24.95" customHeight="1" thickBot="1">
      <c r="B8" s="320" t="s">
        <v>4</v>
      </c>
      <c r="C8" s="225">
        <v>20000</v>
      </c>
      <c r="D8" s="225">
        <f>C8-F8-E8</f>
        <v>11250</v>
      </c>
      <c r="E8" s="225">
        <v>8700</v>
      </c>
      <c r="F8" s="225">
        <v>50</v>
      </c>
      <c r="G8" s="321"/>
      <c r="H8" s="322">
        <f>SUM(D8:F8)</f>
        <v>20000</v>
      </c>
      <c r="I8" s="308" t="s">
        <v>4</v>
      </c>
      <c r="J8" s="193">
        <v>5</v>
      </c>
      <c r="K8" s="193">
        <v>8</v>
      </c>
      <c r="L8" s="193">
        <v>6</v>
      </c>
      <c r="M8" s="193">
        <v>15</v>
      </c>
      <c r="N8" s="194">
        <v>52.5</v>
      </c>
    </row>
    <row r="9" spans="2:14" ht="24.95" customHeight="1" thickBot="1">
      <c r="B9" s="323" t="s">
        <v>2</v>
      </c>
      <c r="C9" s="324">
        <f>SUM(C4:C8)</f>
        <v>26350</v>
      </c>
      <c r="D9" s="324">
        <f>SUM(D4:D8)</f>
        <v>13950</v>
      </c>
      <c r="E9" s="324">
        <f>SUM(E4:E8)</f>
        <v>10450</v>
      </c>
      <c r="F9" s="324">
        <f>SUM(F4:F8)</f>
        <v>1950</v>
      </c>
      <c r="G9" s="324"/>
      <c r="H9" s="325">
        <f>SUM(H4:H8)</f>
        <v>26350</v>
      </c>
      <c r="I9" s="238"/>
      <c r="J9" s="168"/>
      <c r="K9" s="168"/>
      <c r="L9" s="168"/>
      <c r="M9" s="168"/>
      <c r="N9" s="243"/>
    </row>
    <row r="10" spans="2:14" ht="24.95" customHeight="1">
      <c r="B10" s="289"/>
      <c r="C10" s="181"/>
      <c r="D10" s="181"/>
      <c r="E10" s="181"/>
      <c r="F10" s="181"/>
      <c r="G10" s="181"/>
      <c r="H10" s="181"/>
      <c r="I10" s="238"/>
      <c r="J10" s="168"/>
      <c r="K10" s="168"/>
      <c r="L10" s="168"/>
      <c r="M10" s="168"/>
      <c r="N10" s="243"/>
    </row>
    <row r="11" spans="2:14" ht="24.95" customHeight="1">
      <c r="B11" t="s">
        <v>7</v>
      </c>
      <c r="C11" s="288">
        <f>'arbitrage emplois finals et ag '!C27</f>
        <v>59.5</v>
      </c>
      <c r="D11" s="288">
        <v>960</v>
      </c>
      <c r="E11" s="288">
        <v>950</v>
      </c>
      <c r="F11" s="288">
        <v>825</v>
      </c>
      <c r="G11" s="288">
        <v>11100</v>
      </c>
      <c r="H11" s="288">
        <f>SUM(C11:G11)</f>
        <v>13894.5</v>
      </c>
      <c r="I11" s="238"/>
      <c r="J11" s="168"/>
      <c r="K11" s="168"/>
      <c r="L11" s="168"/>
      <c r="M11" s="168"/>
      <c r="N11" s="243"/>
    </row>
    <row r="12" spans="2:14" ht="24.95" customHeight="1">
      <c r="B12" t="s">
        <v>28</v>
      </c>
      <c r="C12" s="288">
        <f>'arbitrage emplois finals et ag '!C29-C11</f>
        <v>290.5</v>
      </c>
      <c r="D12" s="288">
        <f>'arbitrage emplois finals et ag '!D29-D11</f>
        <v>1040</v>
      </c>
      <c r="E12" s="288">
        <f>'arbitrage emplois finals et ag '!E29-E11</f>
        <v>1550</v>
      </c>
      <c r="F12" s="288">
        <f>'arbitrage emplois finals et ag '!F29-F11</f>
        <v>675</v>
      </c>
      <c r="G12" s="288">
        <f>'arbitrage emplois finals et ag '!G29-G11</f>
        <v>8900</v>
      </c>
      <c r="H12" s="288">
        <f>'arbitrage emplois finals et ag '!H29-H11</f>
        <v>12455.5</v>
      </c>
      <c r="I12" s="238"/>
      <c r="J12" s="168"/>
      <c r="K12" s="168"/>
      <c r="L12" s="168"/>
      <c r="M12" s="168"/>
      <c r="N12" s="243"/>
    </row>
    <row r="13" spans="2:14" ht="24.95" customHeight="1">
      <c r="B13" s="309"/>
      <c r="C13" s="238"/>
      <c r="D13" s="238"/>
      <c r="E13" s="238"/>
      <c r="F13" s="238"/>
      <c r="G13" s="238"/>
      <c r="H13" s="238"/>
      <c r="I13" s="238"/>
      <c r="J13" s="168"/>
      <c r="K13" s="168"/>
      <c r="L13" s="168"/>
      <c r="M13" s="168"/>
      <c r="N13" s="243"/>
    </row>
    <row r="14" spans="2:14" ht="24.95" customHeight="1" thickBot="1">
      <c r="B14" s="182" t="s">
        <v>14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243"/>
    </row>
    <row r="15" spans="2:14" ht="24.95" customHeight="1" thickTop="1">
      <c r="B15" s="389" t="s">
        <v>33</v>
      </c>
      <c r="C15" s="381" t="s">
        <v>8</v>
      </c>
      <c r="D15" s="382"/>
      <c r="E15" s="382"/>
      <c r="F15" s="382"/>
      <c r="G15" s="382"/>
      <c r="H15" s="383"/>
      <c r="I15" s="195" t="s">
        <v>7</v>
      </c>
      <c r="J15" s="386" t="s">
        <v>0</v>
      </c>
      <c r="K15" s="384" t="s">
        <v>18</v>
      </c>
      <c r="L15" s="408" t="s">
        <v>2</v>
      </c>
      <c r="M15" s="326"/>
      <c r="N15" s="332" t="s">
        <v>57</v>
      </c>
    </row>
    <row r="16" spans="2:14" ht="24.95" customHeight="1" thickBot="1">
      <c r="B16" s="390"/>
      <c r="C16" s="196" t="s">
        <v>3</v>
      </c>
      <c r="D16" s="197" t="s">
        <v>21</v>
      </c>
      <c r="E16" s="197" t="s">
        <v>22</v>
      </c>
      <c r="F16" s="197" t="s">
        <v>29</v>
      </c>
      <c r="G16" s="197" t="s">
        <v>4</v>
      </c>
      <c r="H16" s="198" t="s">
        <v>2</v>
      </c>
      <c r="I16" s="199" t="s">
        <v>23</v>
      </c>
      <c r="J16" s="387"/>
      <c r="K16" s="388"/>
      <c r="L16" s="410"/>
      <c r="M16" s="326"/>
      <c r="N16" s="333" t="s">
        <v>54</v>
      </c>
    </row>
    <row r="17" spans="2:14" ht="24.95" customHeight="1" thickTop="1">
      <c r="B17" s="200" t="s">
        <v>5</v>
      </c>
      <c r="C17" s="267">
        <f>J4*$C$4/100</f>
        <v>17.5</v>
      </c>
      <c r="D17" s="201">
        <f>K4*$C$5/100</f>
        <v>200</v>
      </c>
      <c r="E17" s="201">
        <f>L4*$C$6/100</f>
        <v>0</v>
      </c>
      <c r="F17" s="201">
        <f>M4*$C$7/100</f>
        <v>0</v>
      </c>
      <c r="G17" s="201">
        <f>N4*$C$8/100</f>
        <v>0</v>
      </c>
      <c r="H17" s="202">
        <f t="shared" ref="H17:H22" si="0">SUM(C17:G17)</f>
        <v>217.5</v>
      </c>
      <c r="I17" s="202">
        <f t="shared" ref="I17:K21" si="1">D4</f>
        <v>200</v>
      </c>
      <c r="J17" s="203">
        <f t="shared" si="1"/>
        <v>150</v>
      </c>
      <c r="K17" s="203">
        <f t="shared" si="1"/>
        <v>0</v>
      </c>
      <c r="L17" s="204">
        <f>H17+J17+K17</f>
        <v>367.5</v>
      </c>
      <c r="M17" s="327"/>
      <c r="N17" s="328">
        <f>H17/I17</f>
        <v>1.0874999999999999</v>
      </c>
    </row>
    <row r="18" spans="2:14" ht="24.95" customHeight="1">
      <c r="B18" s="200" t="s">
        <v>19</v>
      </c>
      <c r="C18" s="236">
        <f>J5*$C$4/100</f>
        <v>24.5</v>
      </c>
      <c r="D18" s="205">
        <f>K5*$C$5/100</f>
        <v>300</v>
      </c>
      <c r="E18" s="205">
        <f>L5*$C$6/100</f>
        <v>125</v>
      </c>
      <c r="F18" s="205">
        <f>M5*$C$7/100</f>
        <v>300</v>
      </c>
      <c r="G18" s="205">
        <f>N5*$C$8/100</f>
        <v>200</v>
      </c>
      <c r="H18" s="206">
        <f t="shared" si="0"/>
        <v>949.5</v>
      </c>
      <c r="I18" s="206">
        <f t="shared" si="1"/>
        <v>900</v>
      </c>
      <c r="J18" s="203">
        <f t="shared" si="1"/>
        <v>800</v>
      </c>
      <c r="K18" s="203">
        <f t="shared" si="1"/>
        <v>300</v>
      </c>
      <c r="L18" s="207">
        <f>H18+J18+K18</f>
        <v>2049.5</v>
      </c>
      <c r="M18" s="327"/>
      <c r="N18" s="329">
        <f>H18/I18</f>
        <v>1.0549999999999999</v>
      </c>
    </row>
    <row r="19" spans="2:14" ht="24.95" customHeight="1">
      <c r="B19" s="200" t="s">
        <v>20</v>
      </c>
      <c r="C19" s="236">
        <f>J6*$C$4/100</f>
        <v>0</v>
      </c>
      <c r="D19" s="205">
        <f>K6*$C$5/100</f>
        <v>260</v>
      </c>
      <c r="E19" s="205">
        <f>L6*$C$6/100</f>
        <v>675</v>
      </c>
      <c r="F19" s="205">
        <f>M6*$C$7/100</f>
        <v>75</v>
      </c>
      <c r="G19" s="205">
        <f>N6*$C$8/100</f>
        <v>0</v>
      </c>
      <c r="H19" s="206">
        <f t="shared" si="0"/>
        <v>1010</v>
      </c>
      <c r="I19" s="206">
        <f t="shared" si="1"/>
        <v>1000</v>
      </c>
      <c r="J19" s="203">
        <f t="shared" si="1"/>
        <v>700</v>
      </c>
      <c r="K19" s="203">
        <f t="shared" si="1"/>
        <v>800</v>
      </c>
      <c r="L19" s="207">
        <f>H19+J19+K19</f>
        <v>2510</v>
      </c>
      <c r="M19" s="330"/>
      <c r="N19" s="329">
        <f>H19/I19</f>
        <v>1.01</v>
      </c>
    </row>
    <row r="20" spans="2:14" ht="24.95" customHeight="1">
      <c r="B20" s="200" t="s">
        <v>29</v>
      </c>
      <c r="C20" s="236">
        <f>J7*$C$4/100</f>
        <v>0</v>
      </c>
      <c r="D20" s="205">
        <f>K7*$C$5/100</f>
        <v>40</v>
      </c>
      <c r="E20" s="205">
        <f>L7*$C$6/100</f>
        <v>0</v>
      </c>
      <c r="F20" s="205">
        <f>M7*$C$7/100</f>
        <v>225</v>
      </c>
      <c r="G20" s="205">
        <f>N7*$C$8/100</f>
        <v>400</v>
      </c>
      <c r="H20" s="206">
        <f t="shared" si="0"/>
        <v>665</v>
      </c>
      <c r="I20" s="206">
        <f t="shared" si="1"/>
        <v>600</v>
      </c>
      <c r="J20" s="203">
        <f t="shared" si="1"/>
        <v>100</v>
      </c>
      <c r="K20" s="203">
        <f t="shared" si="1"/>
        <v>800</v>
      </c>
      <c r="L20" s="207">
        <f>H20+J20+K20</f>
        <v>1565</v>
      </c>
      <c r="M20" s="330"/>
      <c r="N20" s="329">
        <f>H20/I20</f>
        <v>1.1083333333333334</v>
      </c>
    </row>
    <row r="21" spans="2:14" ht="24.95" customHeight="1" thickBot="1">
      <c r="B21" s="200" t="s">
        <v>4</v>
      </c>
      <c r="C21" s="236">
        <f>J8*$C$4/100</f>
        <v>17.5</v>
      </c>
      <c r="D21" s="205">
        <f>K8*$C$5/100</f>
        <v>160</v>
      </c>
      <c r="E21" s="205">
        <f>L8*$C$6/100</f>
        <v>150</v>
      </c>
      <c r="F21" s="205">
        <f>M8*$C$7/100</f>
        <v>225</v>
      </c>
      <c r="G21" s="205">
        <f>N8*$C$8/100</f>
        <v>10500</v>
      </c>
      <c r="H21" s="206">
        <f t="shared" si="0"/>
        <v>11052.5</v>
      </c>
      <c r="I21" s="208">
        <f t="shared" si="1"/>
        <v>11250</v>
      </c>
      <c r="J21" s="203">
        <f t="shared" si="1"/>
        <v>8700</v>
      </c>
      <c r="K21" s="203">
        <f t="shared" si="1"/>
        <v>50</v>
      </c>
      <c r="L21" s="209">
        <f>H21+J21+K21</f>
        <v>19802.5</v>
      </c>
      <c r="M21" s="330"/>
      <c r="N21" s="331">
        <f>H21/I21</f>
        <v>0.98244444444444445</v>
      </c>
    </row>
    <row r="22" spans="2:14" ht="24.95" customHeight="1" thickTop="1" thickBot="1">
      <c r="B22" s="258" t="s">
        <v>2</v>
      </c>
      <c r="C22" s="210">
        <f>SUM(C17:C21)</f>
        <v>59.5</v>
      </c>
      <c r="D22" s="205">
        <f>SUM(D17:D21)</f>
        <v>960</v>
      </c>
      <c r="E22" s="205">
        <f>SUM(E17:E21)</f>
        <v>950</v>
      </c>
      <c r="F22" s="205">
        <f>SUM(F17:F21)</f>
        <v>825</v>
      </c>
      <c r="G22" s="205">
        <f>SUM(G17:G21)</f>
        <v>11100</v>
      </c>
      <c r="H22" s="206">
        <f t="shared" si="0"/>
        <v>13894.5</v>
      </c>
      <c r="I22" s="211"/>
      <c r="J22" s="212">
        <f>SUM(J17:J21)</f>
        <v>10450</v>
      </c>
      <c r="K22" s="213">
        <f>SUM(K17:K21)</f>
        <v>1950</v>
      </c>
      <c r="L22" s="214">
        <f>SUM(L17:L21)</f>
        <v>26294.5</v>
      </c>
      <c r="M22" s="168"/>
      <c r="N22" s="243"/>
    </row>
    <row r="23" spans="2:14" ht="24.95" customHeight="1" thickTop="1">
      <c r="B23" s="258" t="s">
        <v>28</v>
      </c>
      <c r="C23" s="210">
        <f t="shared" ref="C23:H23" si="2">C24-C22</f>
        <v>290.5</v>
      </c>
      <c r="D23" s="205">
        <f t="shared" si="2"/>
        <v>1040</v>
      </c>
      <c r="E23" s="205">
        <f t="shared" si="2"/>
        <v>1550</v>
      </c>
      <c r="F23" s="205">
        <f t="shared" si="2"/>
        <v>675</v>
      </c>
      <c r="G23" s="205">
        <f t="shared" si="2"/>
        <v>8900</v>
      </c>
      <c r="H23" s="215">
        <f t="shared" si="2"/>
        <v>12455.5</v>
      </c>
      <c r="I23" s="178"/>
      <c r="J23" s="319" t="s">
        <v>51</v>
      </c>
      <c r="K23" s="318" t="s">
        <v>52</v>
      </c>
      <c r="L23" s="318">
        <f>J22+K22</f>
        <v>12400</v>
      </c>
      <c r="M23" s="326"/>
      <c r="N23" s="326"/>
    </row>
    <row r="24" spans="2:14" ht="24.95" customHeight="1" thickBot="1">
      <c r="B24" s="259" t="s">
        <v>10</v>
      </c>
      <c r="C24" s="218">
        <f>C4</f>
        <v>350</v>
      </c>
      <c r="D24" s="219">
        <f>C5</f>
        <v>2000</v>
      </c>
      <c r="E24" s="219">
        <f>C6</f>
        <v>2500</v>
      </c>
      <c r="F24" s="219">
        <f>C7</f>
        <v>1500</v>
      </c>
      <c r="G24" s="219">
        <f>C8</f>
        <v>20000</v>
      </c>
      <c r="H24" s="208">
        <f>SUM(C24:G24)</f>
        <v>26350</v>
      </c>
      <c r="I24" s="178"/>
      <c r="J24" s="319" t="s">
        <v>9</v>
      </c>
      <c r="K24" s="318" t="s">
        <v>55</v>
      </c>
      <c r="L24" s="318">
        <f>H23</f>
        <v>12455.5</v>
      </c>
      <c r="M24" s="326"/>
      <c r="N24" s="326"/>
    </row>
    <row r="25" spans="2:14" ht="24.95" customHeight="1" thickTop="1"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1"/>
      <c r="N25" s="23"/>
    </row>
    <row r="26" spans="2:14" ht="24.95" customHeight="1" thickBot="1">
      <c r="B26" s="182" t="s">
        <v>58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1"/>
      <c r="N26" s="23"/>
    </row>
    <row r="27" spans="2:14" ht="24.95" customHeight="1" thickTop="1" thickBot="1">
      <c r="B27" s="389" t="s">
        <v>33</v>
      </c>
      <c r="C27" s="381" t="s">
        <v>8</v>
      </c>
      <c r="D27" s="407"/>
      <c r="E27" s="382"/>
      <c r="F27" s="382"/>
      <c r="G27" s="382"/>
      <c r="H27" s="412"/>
      <c r="I27" s="195" t="s">
        <v>7</v>
      </c>
      <c r="J27" s="413" t="s">
        <v>0</v>
      </c>
      <c r="K27" s="415" t="s">
        <v>18</v>
      </c>
      <c r="L27" s="417" t="s">
        <v>2</v>
      </c>
    </row>
    <row r="28" spans="2:14" ht="24.95" customHeight="1" thickBot="1">
      <c r="B28" s="406"/>
      <c r="C28" s="223" t="s">
        <v>3</v>
      </c>
      <c r="D28" s="264" t="s">
        <v>21</v>
      </c>
      <c r="E28" s="224" t="s">
        <v>22</v>
      </c>
      <c r="F28" s="225" t="s">
        <v>29</v>
      </c>
      <c r="G28" s="335" t="s">
        <v>4</v>
      </c>
      <c r="H28" s="264" t="s">
        <v>2</v>
      </c>
      <c r="I28" s="240" t="s">
        <v>23</v>
      </c>
      <c r="J28" s="414"/>
      <c r="K28" s="416"/>
      <c r="L28" s="418"/>
    </row>
    <row r="29" spans="2:14" ht="24.95" customHeight="1" thickTop="1">
      <c r="B29" s="227" t="s">
        <v>5</v>
      </c>
      <c r="C29" s="228">
        <f>C17</f>
        <v>17.5</v>
      </c>
      <c r="D29" s="268">
        <f>'arbitrage emplois finals et ag '!D34/'arbitrage emplois finals et ag '!D$39*D$11</f>
        <v>185.88859416445624</v>
      </c>
      <c r="E29" s="268">
        <f>'arbitrage emplois finals et ag '!E34/'arbitrage emplois finals et ag '!E$39*E$11</f>
        <v>0</v>
      </c>
      <c r="F29" s="268">
        <f>'arbitrage emplois finals et ag '!F34/'arbitrage emplois finals et ag '!F$39*F$11</f>
        <v>0</v>
      </c>
      <c r="G29" s="268">
        <f>'arbitrage emplois finals et ag '!G34/'arbitrage emplois finals et ag '!G$39*G$11</f>
        <v>0</v>
      </c>
      <c r="H29" s="374">
        <f t="shared" ref="H29:H36" si="3">SUM(C29:G29)</f>
        <v>203.38859416445624</v>
      </c>
      <c r="I29" s="232">
        <f>Enoncé!I22</f>
        <v>200</v>
      </c>
      <c r="J29" s="203">
        <f t="shared" ref="J29:K31" si="4">J17</f>
        <v>150</v>
      </c>
      <c r="K29" s="203">
        <f t="shared" si="4"/>
        <v>0</v>
      </c>
      <c r="L29" s="313">
        <f>H29+J29+K29</f>
        <v>353.38859416445621</v>
      </c>
      <c r="M29" s="11"/>
      <c r="N29" s="11"/>
    </row>
    <row r="30" spans="2:14" ht="24.95" customHeight="1">
      <c r="B30" s="233" t="s">
        <v>19</v>
      </c>
      <c r="C30" s="234">
        <f>C18</f>
        <v>24.5</v>
      </c>
      <c r="D30" s="271">
        <f>'arbitrage emplois finals et ag '!D35/'arbitrage emplois finals et ag '!D$39*D$11</f>
        <v>305.57029177718834</v>
      </c>
      <c r="E30" s="271">
        <f>'arbitrage emplois finals et ag '!E35/'arbitrage emplois finals et ag '!E$39*E$11</f>
        <v>125</v>
      </c>
      <c r="F30" s="271">
        <f>'arbitrage emplois finals et ag '!F35/'arbitrage emplois finals et ag '!F$39*F$11</f>
        <v>300</v>
      </c>
      <c r="G30" s="271">
        <f>'arbitrage emplois finals et ag '!G35/'arbitrage emplois finals et ag '!G$39*G$11</f>
        <v>200</v>
      </c>
      <c r="H30" s="270">
        <f t="shared" si="3"/>
        <v>955.07029177718834</v>
      </c>
      <c r="I30" s="235">
        <f>I18</f>
        <v>900</v>
      </c>
      <c r="J30" s="203">
        <f t="shared" si="4"/>
        <v>800</v>
      </c>
      <c r="K30" s="203">
        <f t="shared" si="4"/>
        <v>300</v>
      </c>
      <c r="L30" s="314">
        <f>H30+J30+K30</f>
        <v>2055.0702917771882</v>
      </c>
      <c r="M30" s="11"/>
      <c r="N30" s="11"/>
    </row>
    <row r="31" spans="2:14" ht="24.95" customHeight="1">
      <c r="B31" s="233" t="s">
        <v>20</v>
      </c>
      <c r="C31" s="234">
        <f>C19</f>
        <v>0</v>
      </c>
      <c r="D31" s="271">
        <f>'arbitrage emplois finals et ag '!D36/'arbitrage emplois finals et ag '!D$39*D$11</f>
        <v>264.82758620689657</v>
      </c>
      <c r="E31" s="271">
        <f>'arbitrage emplois finals et ag '!E36/'arbitrage emplois finals et ag '!E$39*E$11</f>
        <v>675</v>
      </c>
      <c r="F31" s="271">
        <f>'arbitrage emplois finals et ag '!F36/'arbitrage emplois finals et ag '!F$39*F$11</f>
        <v>75</v>
      </c>
      <c r="G31" s="271">
        <f>'arbitrage emplois finals et ag '!G36/'arbitrage emplois finals et ag '!G$39*G$11</f>
        <v>0</v>
      </c>
      <c r="H31" s="270">
        <f t="shared" si="3"/>
        <v>1014.8275862068965</v>
      </c>
      <c r="I31" s="235">
        <f>I19</f>
        <v>1000</v>
      </c>
      <c r="J31" s="203">
        <f t="shared" si="4"/>
        <v>700</v>
      </c>
      <c r="K31" s="203">
        <f t="shared" si="4"/>
        <v>800</v>
      </c>
      <c r="L31" s="314">
        <f>H31+J31+K31</f>
        <v>2514.8275862068967</v>
      </c>
      <c r="M31" s="11"/>
      <c r="N31" s="11"/>
    </row>
    <row r="32" spans="2:14" ht="24.95" customHeight="1">
      <c r="B32" s="233" t="s">
        <v>29</v>
      </c>
      <c r="C32" s="234">
        <f>C20</f>
        <v>0</v>
      </c>
      <c r="D32" s="271">
        <f>'arbitrage emplois finals et ag '!D37/'arbitrage emplois finals et ag '!D$39*D$11</f>
        <v>40.742705570291776</v>
      </c>
      <c r="E32" s="271">
        <f>'arbitrage emplois finals et ag '!E37/'arbitrage emplois finals et ag '!E$39*E$11</f>
        <v>0</v>
      </c>
      <c r="F32" s="271">
        <f>'arbitrage emplois finals et ag '!F37/'arbitrage emplois finals et ag '!F$39*F$11</f>
        <v>224.99999999999997</v>
      </c>
      <c r="G32" s="271">
        <f>'arbitrage emplois finals et ag '!G37/'arbitrage emplois finals et ag '!G$39*G$11</f>
        <v>400</v>
      </c>
      <c r="H32" s="270">
        <f t="shared" si="3"/>
        <v>665.74270557029172</v>
      </c>
      <c r="I32" s="235">
        <f>I20</f>
        <v>600</v>
      </c>
      <c r="J32" s="203">
        <f>J20</f>
        <v>100</v>
      </c>
      <c r="K32" s="203">
        <f>K20</f>
        <v>800</v>
      </c>
      <c r="L32" s="314">
        <f>H32+J32+K32</f>
        <v>1565.7427055702917</v>
      </c>
      <c r="M32" s="11"/>
      <c r="N32" s="11"/>
    </row>
    <row r="33" spans="2:14" ht="24.95" customHeight="1" thickBot="1">
      <c r="B33" s="233" t="s">
        <v>4</v>
      </c>
      <c r="C33" s="234">
        <f>C21</f>
        <v>17.5</v>
      </c>
      <c r="D33" s="271">
        <f>'arbitrage emplois finals et ag '!D38/'arbitrage emplois finals et ag '!D$39*D$11</f>
        <v>162.9708222811671</v>
      </c>
      <c r="E33" s="271">
        <f>'arbitrage emplois finals et ag '!E38/'arbitrage emplois finals et ag '!E$39*E$11</f>
        <v>150</v>
      </c>
      <c r="F33" s="271">
        <f>'arbitrage emplois finals et ag '!F38/'arbitrage emplois finals et ag '!F$39*F$11</f>
        <v>224.99999999999997</v>
      </c>
      <c r="G33" s="271">
        <f>'arbitrage emplois finals et ag '!G38/'arbitrage emplois finals et ag '!G$39*G$11</f>
        <v>10500</v>
      </c>
      <c r="H33" s="270">
        <f t="shared" si="3"/>
        <v>11055.470822281168</v>
      </c>
      <c r="I33" s="235">
        <f>I21</f>
        <v>11250</v>
      </c>
      <c r="J33" s="203">
        <f>J21</f>
        <v>8700</v>
      </c>
      <c r="K33" s="203">
        <f>K21</f>
        <v>50</v>
      </c>
      <c r="L33" s="315">
        <f>H33+J33+K33</f>
        <v>19805.470822281168</v>
      </c>
      <c r="M33" s="11"/>
      <c r="N33" s="11"/>
    </row>
    <row r="34" spans="2:14" ht="24.95" customHeight="1" thickBot="1">
      <c r="B34" s="256" t="s">
        <v>44</v>
      </c>
      <c r="C34" s="246">
        <f>SUM(C29:C33)</f>
        <v>59.5</v>
      </c>
      <c r="D34" s="375">
        <f>SUM(D29:D33)</f>
        <v>960</v>
      </c>
      <c r="E34" s="247">
        <f>SUM(E29:E33)</f>
        <v>950</v>
      </c>
      <c r="F34" s="375">
        <f>SUM(F29:F33)</f>
        <v>825</v>
      </c>
      <c r="G34" s="375">
        <f>SUM(G29:G33)</f>
        <v>11100</v>
      </c>
      <c r="H34" s="376">
        <f t="shared" si="3"/>
        <v>13894.5</v>
      </c>
      <c r="I34" s="240"/>
      <c r="J34" s="241">
        <f>SUM(J29:J33)</f>
        <v>10450</v>
      </c>
      <c r="K34" s="241">
        <f>SUM(K29:K33)</f>
        <v>1950</v>
      </c>
      <c r="L34" s="334">
        <f>SUM(L29:L33)</f>
        <v>26294.5</v>
      </c>
      <c r="M34" s="11"/>
      <c r="N34" s="11"/>
    </row>
    <row r="35" spans="2:14" ht="24.95" customHeight="1">
      <c r="B35" s="256" t="s">
        <v>28</v>
      </c>
      <c r="C35" s="234">
        <f>C36-C34</f>
        <v>290.5</v>
      </c>
      <c r="D35" s="229">
        <f>D36-D34</f>
        <v>1040</v>
      </c>
      <c r="E35" s="238">
        <f>E36-E34</f>
        <v>1550</v>
      </c>
      <c r="F35" s="229">
        <f>F36-F34</f>
        <v>675</v>
      </c>
      <c r="G35" s="229">
        <f>G36-G34</f>
        <v>8900</v>
      </c>
      <c r="H35" s="239">
        <f t="shared" si="3"/>
        <v>12455.5</v>
      </c>
      <c r="I35" s="178"/>
      <c r="J35" s="319" t="s">
        <v>51</v>
      </c>
      <c r="K35" s="318" t="s">
        <v>52</v>
      </c>
      <c r="L35" s="318">
        <f>J34+K34</f>
        <v>12400</v>
      </c>
      <c r="M35" s="11"/>
      <c r="N35" s="11"/>
    </row>
    <row r="36" spans="2:14" ht="24.95" customHeight="1" thickBot="1">
      <c r="B36" s="257" t="s">
        <v>10</v>
      </c>
      <c r="C36" s="246">
        <f>C4</f>
        <v>350</v>
      </c>
      <c r="D36" s="247">
        <f>C5</f>
        <v>2000</v>
      </c>
      <c r="E36" s="247">
        <f>C6</f>
        <v>2500</v>
      </c>
      <c r="F36" s="247">
        <f>F24</f>
        <v>1500</v>
      </c>
      <c r="G36" s="247">
        <f>C8</f>
        <v>20000</v>
      </c>
      <c r="H36" s="248">
        <f t="shared" si="3"/>
        <v>26350</v>
      </c>
      <c r="I36" s="178"/>
      <c r="J36" s="319" t="s">
        <v>9</v>
      </c>
      <c r="K36" s="318" t="s">
        <v>55</v>
      </c>
      <c r="L36" s="318">
        <f>H35</f>
        <v>12455.5</v>
      </c>
      <c r="M36" s="11"/>
      <c r="N36" s="115"/>
    </row>
    <row r="37" spans="2:14" ht="24.95" customHeight="1" thickTop="1"/>
    <row r="38" spans="2:14" ht="24.95" customHeight="1" thickBot="1">
      <c r="B38" s="182" t="s">
        <v>56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</row>
    <row r="39" spans="2:14" ht="24.95" customHeight="1" thickTop="1" thickBot="1">
      <c r="B39" s="389" t="s">
        <v>33</v>
      </c>
      <c r="C39" s="381" t="s">
        <v>8</v>
      </c>
      <c r="D39" s="407"/>
      <c r="E39" s="382"/>
      <c r="F39" s="382"/>
      <c r="G39" s="382"/>
      <c r="H39" s="383"/>
      <c r="I39" s="195" t="s">
        <v>7</v>
      </c>
      <c r="J39" s="386" t="s">
        <v>0</v>
      </c>
      <c r="K39" s="384" t="s">
        <v>18</v>
      </c>
      <c r="L39" s="408" t="s">
        <v>2</v>
      </c>
    </row>
    <row r="40" spans="2:14" ht="24.95" customHeight="1" thickBot="1">
      <c r="B40" s="406"/>
      <c r="C40" s="223" t="s">
        <v>3</v>
      </c>
      <c r="D40" s="264" t="s">
        <v>21</v>
      </c>
      <c r="E40" s="224" t="s">
        <v>22</v>
      </c>
      <c r="F40" s="225" t="s">
        <v>29</v>
      </c>
      <c r="G40" s="225" t="s">
        <v>4</v>
      </c>
      <c r="H40" s="226" t="s">
        <v>2</v>
      </c>
      <c r="I40" s="275" t="s">
        <v>23</v>
      </c>
      <c r="J40" s="411"/>
      <c r="K40" s="385"/>
      <c r="L40" s="409"/>
    </row>
    <row r="41" spans="2:14" ht="24.95" customHeight="1" thickTop="1">
      <c r="B41" s="227" t="s">
        <v>5</v>
      </c>
      <c r="C41" s="298">
        <f>C29</f>
        <v>17.5</v>
      </c>
      <c r="D41" s="291">
        <f>I41-C41</f>
        <v>182.5</v>
      </c>
      <c r="E41" s="291">
        <f t="shared" ref="E41:G41" si="5">E29</f>
        <v>0</v>
      </c>
      <c r="F41" s="291">
        <f t="shared" si="5"/>
        <v>0</v>
      </c>
      <c r="G41" s="291">
        <f t="shared" si="5"/>
        <v>0</v>
      </c>
      <c r="H41" s="269">
        <f>C41+D41</f>
        <v>200</v>
      </c>
      <c r="I41" s="285">
        <f>I29</f>
        <v>200</v>
      </c>
      <c r="J41" s="203">
        <f>J29</f>
        <v>150</v>
      </c>
      <c r="K41" s="203">
        <f>K29</f>
        <v>0</v>
      </c>
      <c r="L41" s="313">
        <f>H41+J41+K41</f>
        <v>350</v>
      </c>
      <c r="N41">
        <v>350</v>
      </c>
    </row>
    <row r="42" spans="2:14" ht="24.95" customHeight="1">
      <c r="B42" s="233" t="s">
        <v>19</v>
      </c>
      <c r="C42" s="311">
        <f>C30</f>
        <v>24.5</v>
      </c>
      <c r="D42" s="373">
        <f>D30/(D$34-D$29)*(D$46-D$41)</f>
        <v>307.60635211990945</v>
      </c>
      <c r="E42" s="373">
        <f t="shared" ref="E42:G42" si="6">E30/(E$34-E$29)*(E$46-E$41)</f>
        <v>125.23039392844235</v>
      </c>
      <c r="F42" s="373">
        <f t="shared" si="6"/>
        <v>300.55294542826169</v>
      </c>
      <c r="G42" s="373">
        <f t="shared" si="6"/>
        <v>200.36863028550775</v>
      </c>
      <c r="H42" s="270">
        <f>SUM(C42:G42)</f>
        <v>958.25832176212123</v>
      </c>
      <c r="I42" s="276">
        <f>I30</f>
        <v>900</v>
      </c>
      <c r="J42" s="203">
        <f>J30</f>
        <v>800</v>
      </c>
      <c r="K42" s="203">
        <f t="shared" ref="K42:K45" si="7">K30</f>
        <v>300</v>
      </c>
      <c r="L42" s="314">
        <f>H42+J42+K42</f>
        <v>2058.2583217621213</v>
      </c>
      <c r="N42">
        <v>2043.4559979963888</v>
      </c>
    </row>
    <row r="43" spans="2:14" ht="24.95" customHeight="1">
      <c r="B43" s="233" t="s">
        <v>20</v>
      </c>
      <c r="C43" s="234">
        <f t="shared" ref="C43:C46" si="8">C31</f>
        <v>0</v>
      </c>
      <c r="D43" s="373">
        <f t="shared" ref="D43:G43" si="9">D31/(D$34-D$29)*(D$46-D$41)</f>
        <v>266.59217183725485</v>
      </c>
      <c r="E43" s="373">
        <f t="shared" si="9"/>
        <v>676.24412721358874</v>
      </c>
      <c r="F43" s="373">
        <f t="shared" si="9"/>
        <v>75.138236357065423</v>
      </c>
      <c r="G43" s="373">
        <f t="shared" si="9"/>
        <v>0</v>
      </c>
      <c r="H43" s="270">
        <f t="shared" ref="H43:H45" si="10">SUM(C43:G43)</f>
        <v>1017.974535407909</v>
      </c>
      <c r="I43" s="276">
        <f>I31</f>
        <v>1000</v>
      </c>
      <c r="J43" s="203">
        <f t="shared" ref="J43:J45" si="11">J31</f>
        <v>700</v>
      </c>
      <c r="K43" s="203">
        <f t="shared" si="7"/>
        <v>800</v>
      </c>
      <c r="L43" s="314">
        <f>H43+J43+K43</f>
        <v>2517.9745354079091</v>
      </c>
      <c r="N43">
        <v>2506.4207901164191</v>
      </c>
    </row>
    <row r="44" spans="2:14" ht="24.95" customHeight="1">
      <c r="B44" s="233" t="s">
        <v>29</v>
      </c>
      <c r="C44" s="234">
        <f t="shared" si="8"/>
        <v>0</v>
      </c>
      <c r="D44" s="373">
        <f t="shared" ref="D44:G44" si="12">D32/(D$34-D$29)*(D$46-D$41)</f>
        <v>41.014180282654593</v>
      </c>
      <c r="E44" s="373">
        <f t="shared" si="12"/>
        <v>0</v>
      </c>
      <c r="F44" s="373">
        <f t="shared" si="12"/>
        <v>225.41470907119623</v>
      </c>
      <c r="G44" s="373">
        <f t="shared" si="12"/>
        <v>400.7372605710155</v>
      </c>
      <c r="H44" s="270">
        <f t="shared" si="10"/>
        <v>667.16614992486632</v>
      </c>
      <c r="I44" s="276">
        <f>I32</f>
        <v>600</v>
      </c>
      <c r="J44" s="203">
        <f t="shared" si="11"/>
        <v>100</v>
      </c>
      <c r="K44" s="203">
        <f t="shared" si="7"/>
        <v>800</v>
      </c>
      <c r="L44" s="314">
        <f>H44+J44+K44</f>
        <v>1567.1661499248662</v>
      </c>
      <c r="N44">
        <v>1580.7134651408924</v>
      </c>
    </row>
    <row r="45" spans="2:14" ht="24.95" customHeight="1" thickBot="1">
      <c r="B45" s="233" t="s">
        <v>4</v>
      </c>
      <c r="C45" s="234">
        <f t="shared" si="8"/>
        <v>17.5</v>
      </c>
      <c r="D45" s="373">
        <f t="shared" ref="D45:G45" si="13">D33/(D$34-D$29)*(D$46-D$41)</f>
        <v>164.05672113061837</v>
      </c>
      <c r="E45" s="373">
        <f t="shared" si="13"/>
        <v>150.27647271413082</v>
      </c>
      <c r="F45" s="373">
        <f t="shared" si="13"/>
        <v>225.41470907119623</v>
      </c>
      <c r="G45" s="373">
        <f t="shared" si="13"/>
        <v>10519.353089989158</v>
      </c>
      <c r="H45" s="270">
        <f t="shared" si="10"/>
        <v>11076.600992905103</v>
      </c>
      <c r="I45" s="286">
        <f>I33</f>
        <v>11250</v>
      </c>
      <c r="J45" s="203">
        <f t="shared" si="11"/>
        <v>8700</v>
      </c>
      <c r="K45" s="203">
        <f t="shared" si="7"/>
        <v>50</v>
      </c>
      <c r="L45" s="315">
        <f>H45+J45+K45</f>
        <v>19826.600992905103</v>
      </c>
      <c r="N45">
        <v>19869.4097467463</v>
      </c>
    </row>
    <row r="46" spans="2:14" ht="24.95" customHeight="1" thickBot="1">
      <c r="B46" s="256" t="s">
        <v>44</v>
      </c>
      <c r="C46" s="234">
        <f t="shared" si="8"/>
        <v>59.5</v>
      </c>
      <c r="D46" s="271">
        <f>D34/($H$34-$C$34)*($H46-$C$34)</f>
        <v>961.76942537043726</v>
      </c>
      <c r="E46" s="271">
        <f t="shared" ref="E46:G46" si="14">E34/($H$34-$C$34)*($H46-$C$34)</f>
        <v>951.75099385616193</v>
      </c>
      <c r="F46" s="271">
        <f t="shared" si="14"/>
        <v>826.52059992771956</v>
      </c>
      <c r="G46" s="271">
        <f t="shared" si="14"/>
        <v>11120.45898084568</v>
      </c>
      <c r="H46" s="270">
        <f>H48-H47</f>
        <v>13920</v>
      </c>
      <c r="I46" s="240">
        <f>SUM(I41:I45)</f>
        <v>13950</v>
      </c>
      <c r="J46" s="241">
        <f>SUM(J41:J45)</f>
        <v>10450</v>
      </c>
      <c r="K46" s="241">
        <f>SUM(K41:K45)</f>
        <v>1950</v>
      </c>
      <c r="L46" s="312">
        <f>SUM(L41:L45)</f>
        <v>26320</v>
      </c>
      <c r="N46">
        <v>26350</v>
      </c>
    </row>
    <row r="47" spans="2:14" ht="24.95" customHeight="1" thickTop="1">
      <c r="B47" s="256" t="s">
        <v>28</v>
      </c>
      <c r="C47" s="234">
        <f>C48-C46</f>
        <v>290.5</v>
      </c>
      <c r="D47" s="271">
        <f>D48-D46</f>
        <v>1038.2305746295629</v>
      </c>
      <c r="E47" s="271">
        <f>E48-E46</f>
        <v>1548.249006143838</v>
      </c>
      <c r="F47" s="271">
        <f>F48-F46</f>
        <v>673.47940007228044</v>
      </c>
      <c r="G47" s="271">
        <f>G48-G46</f>
        <v>8879.5410191543197</v>
      </c>
      <c r="H47" s="239">
        <f>J47</f>
        <v>12430</v>
      </c>
      <c r="I47" s="318" t="s">
        <v>47</v>
      </c>
      <c r="J47" s="318">
        <v>12430</v>
      </c>
      <c r="K47" s="318" t="s">
        <v>52</v>
      </c>
      <c r="L47" s="318">
        <f>J46+K46</f>
        <v>12400</v>
      </c>
    </row>
    <row r="48" spans="2:14" ht="24.95" customHeight="1" thickBot="1">
      <c r="B48" s="256" t="s">
        <v>10</v>
      </c>
      <c r="C48" s="246">
        <f t="shared" ref="C48:H48" si="15">C36</f>
        <v>350</v>
      </c>
      <c r="D48" s="272">
        <f t="shared" si="15"/>
        <v>2000</v>
      </c>
      <c r="E48" s="272">
        <f t="shared" si="15"/>
        <v>2500</v>
      </c>
      <c r="F48" s="272">
        <f t="shared" si="15"/>
        <v>1500</v>
      </c>
      <c r="G48" s="272">
        <f t="shared" si="15"/>
        <v>20000</v>
      </c>
      <c r="H48" s="273">
        <f t="shared" si="15"/>
        <v>26350</v>
      </c>
      <c r="I48" s="294"/>
      <c r="J48" s="249"/>
      <c r="K48" s="318" t="s">
        <v>55</v>
      </c>
      <c r="L48" s="318">
        <f>H47</f>
        <v>12430</v>
      </c>
    </row>
    <row r="49" spans="2:12" ht="24.95" customHeight="1">
      <c r="B49" s="287"/>
      <c r="C49" s="251"/>
      <c r="D49" s="251"/>
      <c r="E49" s="310"/>
      <c r="I49" s="10"/>
      <c r="J49" s="10"/>
      <c r="K49" s="10"/>
      <c r="L49" s="10"/>
    </row>
    <row r="50" spans="2:12" ht="24.95" customHeight="1" thickBot="1">
      <c r="B50" s="182" t="s">
        <v>64</v>
      </c>
      <c r="C50" s="168"/>
      <c r="D50" s="168"/>
      <c r="E50" s="168"/>
      <c r="F50" s="168"/>
      <c r="G50" s="168"/>
      <c r="H50" s="168"/>
      <c r="I50" s="168"/>
      <c r="J50" s="168"/>
      <c r="K50" s="168"/>
      <c r="L50" s="168"/>
    </row>
    <row r="51" spans="2:12" ht="24.95" customHeight="1" thickTop="1" thickBot="1">
      <c r="B51" s="389" t="s">
        <v>33</v>
      </c>
      <c r="C51" s="381" t="s">
        <v>8</v>
      </c>
      <c r="D51" s="407"/>
      <c r="E51" s="382"/>
      <c r="F51" s="382"/>
      <c r="G51" s="382"/>
      <c r="H51" s="383"/>
      <c r="I51" s="195" t="s">
        <v>7</v>
      </c>
      <c r="J51" s="386" t="s">
        <v>0</v>
      </c>
      <c r="K51" s="384" t="s">
        <v>18</v>
      </c>
      <c r="L51" s="408" t="s">
        <v>2</v>
      </c>
    </row>
    <row r="52" spans="2:12" ht="24.95" customHeight="1" thickBot="1">
      <c r="B52" s="406"/>
      <c r="C52" s="223" t="s">
        <v>3</v>
      </c>
      <c r="D52" s="264" t="s">
        <v>21</v>
      </c>
      <c r="E52" s="224" t="s">
        <v>22</v>
      </c>
      <c r="F52" s="225" t="s">
        <v>29</v>
      </c>
      <c r="G52" s="225" t="s">
        <v>4</v>
      </c>
      <c r="H52" s="226" t="s">
        <v>2</v>
      </c>
      <c r="I52" s="275" t="s">
        <v>23</v>
      </c>
      <c r="J52" s="411"/>
      <c r="K52" s="385"/>
      <c r="L52" s="409"/>
    </row>
    <row r="53" spans="2:12" ht="24.95" customHeight="1" thickTop="1">
      <c r="B53" s="227" t="s">
        <v>5</v>
      </c>
      <c r="C53" s="228">
        <f>C41</f>
        <v>17.5</v>
      </c>
      <c r="D53" s="291">
        <f>D41</f>
        <v>182.5</v>
      </c>
      <c r="E53" s="291">
        <f>E41</f>
        <v>0</v>
      </c>
      <c r="F53" s="291">
        <f>F41</f>
        <v>0</v>
      </c>
      <c r="G53" s="291">
        <f>G41</f>
        <v>0</v>
      </c>
      <c r="H53" s="269">
        <f t="shared" ref="H53:H59" si="16">SUM(C53:G53)</f>
        <v>200</v>
      </c>
      <c r="I53" s="285">
        <f>I41</f>
        <v>200</v>
      </c>
      <c r="J53" s="279">
        <f>J41</f>
        <v>150</v>
      </c>
      <c r="K53" s="280">
        <f>K41</f>
        <v>0</v>
      </c>
      <c r="L53" s="206">
        <f>H53+J53+K53</f>
        <v>350</v>
      </c>
    </row>
    <row r="54" spans="2:12" ht="24.95" customHeight="1">
      <c r="B54" s="233" t="s">
        <v>19</v>
      </c>
      <c r="C54" s="234">
        <f t="shared" ref="C54:C60" si="17">C42</f>
        <v>24.5</v>
      </c>
      <c r="D54" s="292" t="s">
        <v>49</v>
      </c>
      <c r="E54" s="292" t="s">
        <v>49</v>
      </c>
      <c r="F54" s="292" t="s">
        <v>49</v>
      </c>
      <c r="G54" s="292" t="s">
        <v>49</v>
      </c>
      <c r="H54" s="270">
        <f>RAS!F10</f>
        <v>875.5</v>
      </c>
      <c r="I54" s="276">
        <f>I42</f>
        <v>900</v>
      </c>
      <c r="J54" s="281">
        <f t="shared" ref="J54:K57" si="18">J42</f>
        <v>800</v>
      </c>
      <c r="K54" s="282">
        <f t="shared" si="18"/>
        <v>300</v>
      </c>
      <c r="L54" s="206">
        <f>H54+J54+K54</f>
        <v>1975.5</v>
      </c>
    </row>
    <row r="55" spans="2:12" ht="24.95" customHeight="1">
      <c r="B55" s="233" t="s">
        <v>20</v>
      </c>
      <c r="C55" s="234">
        <f t="shared" si="17"/>
        <v>0</v>
      </c>
      <c r="D55" s="292" t="s">
        <v>49</v>
      </c>
      <c r="E55" s="292" t="s">
        <v>49</v>
      </c>
      <c r="F55" s="292" t="s">
        <v>49</v>
      </c>
      <c r="G55" s="292" t="s">
        <v>49</v>
      </c>
      <c r="H55" s="270">
        <f>RAS!F11</f>
        <v>999.99999999999989</v>
      </c>
      <c r="I55" s="276">
        <f>I43</f>
        <v>1000</v>
      </c>
      <c r="J55" s="281">
        <f t="shared" si="18"/>
        <v>700</v>
      </c>
      <c r="K55" s="282">
        <f t="shared" si="18"/>
        <v>800</v>
      </c>
      <c r="L55" s="206">
        <f>H55+J55+K55</f>
        <v>2500</v>
      </c>
    </row>
    <row r="56" spans="2:12" ht="24.95" customHeight="1">
      <c r="B56" s="233" t="s">
        <v>29</v>
      </c>
      <c r="C56" s="234">
        <f t="shared" si="17"/>
        <v>0</v>
      </c>
      <c r="D56" s="292" t="s">
        <v>49</v>
      </c>
      <c r="E56" s="292" t="s">
        <v>49</v>
      </c>
      <c r="F56" s="292" t="s">
        <v>49</v>
      </c>
      <c r="G56" s="292" t="s">
        <v>49</v>
      </c>
      <c r="H56" s="270">
        <f>RAS!F12</f>
        <v>580</v>
      </c>
      <c r="I56" s="276">
        <f>I44</f>
        <v>600</v>
      </c>
      <c r="J56" s="365">
        <f>J44+10</f>
        <v>110</v>
      </c>
      <c r="K56" s="363">
        <f>K44+10</f>
        <v>810</v>
      </c>
      <c r="L56" s="206">
        <f>H56+J56+K56</f>
        <v>1500</v>
      </c>
    </row>
    <row r="57" spans="2:12" ht="24.95" customHeight="1" thickBot="1">
      <c r="B57" s="233" t="s">
        <v>4</v>
      </c>
      <c r="C57" s="234">
        <f t="shared" si="17"/>
        <v>17.5</v>
      </c>
      <c r="D57" s="292" t="s">
        <v>49</v>
      </c>
      <c r="E57" s="292" t="s">
        <v>49</v>
      </c>
      <c r="F57" s="292" t="s">
        <v>49</v>
      </c>
      <c r="G57" s="292" t="s">
        <v>49</v>
      </c>
      <c r="H57" s="270">
        <f>RAS!F13</f>
        <v>11222.5</v>
      </c>
      <c r="I57" s="286">
        <f>I45</f>
        <v>11250</v>
      </c>
      <c r="J57" s="281">
        <f t="shared" si="18"/>
        <v>8700</v>
      </c>
      <c r="K57" s="363">
        <f>K45+10</f>
        <v>60</v>
      </c>
      <c r="L57" s="206">
        <f>H57+J57+K57</f>
        <v>19982.5</v>
      </c>
    </row>
    <row r="58" spans="2:12" ht="24.95" customHeight="1" thickBot="1">
      <c r="B58" s="256" t="s">
        <v>44</v>
      </c>
      <c r="C58" s="234">
        <f>C46</f>
        <v>59.5</v>
      </c>
      <c r="D58" s="277">
        <f>D46</f>
        <v>961.76942537043726</v>
      </c>
      <c r="E58" s="277">
        <f t="shared" ref="E58:G58" si="19">E46</f>
        <v>951.75099385616193</v>
      </c>
      <c r="F58" s="277">
        <f t="shared" si="19"/>
        <v>826.52059992771956</v>
      </c>
      <c r="G58" s="277">
        <f t="shared" si="19"/>
        <v>11120.45898084568</v>
      </c>
      <c r="H58" s="297">
        <f t="shared" si="16"/>
        <v>13920</v>
      </c>
      <c r="I58" s="316">
        <f>SUM(I53:I57)</f>
        <v>13950</v>
      </c>
      <c r="J58" s="377">
        <f>SUM(J53:J57)</f>
        <v>10460</v>
      </c>
      <c r="K58" s="378">
        <f>SUM(K53:K57)</f>
        <v>1970</v>
      </c>
      <c r="L58" s="317">
        <f>SUM(L53:L57)</f>
        <v>26308</v>
      </c>
    </row>
    <row r="59" spans="2:12" ht="24.95" customHeight="1" thickTop="1">
      <c r="B59" s="256" t="s">
        <v>28</v>
      </c>
      <c r="C59" s="234">
        <f t="shared" si="17"/>
        <v>290.5</v>
      </c>
      <c r="D59" s="277">
        <f>D60-D58</f>
        <v>1038.2305746295629</v>
      </c>
      <c r="E59" s="277">
        <f>E60-E58</f>
        <v>1548.249006143838</v>
      </c>
      <c r="F59" s="277">
        <f>F60-F58</f>
        <v>673.47940007228044</v>
      </c>
      <c r="G59" s="277">
        <f>G60-G58</f>
        <v>8879.5410191543197</v>
      </c>
      <c r="H59" s="297">
        <f t="shared" si="16"/>
        <v>12430</v>
      </c>
      <c r="I59" s="318" t="s">
        <v>47</v>
      </c>
      <c r="J59" s="380">
        <f>H59</f>
        <v>12430</v>
      </c>
      <c r="K59" s="318" t="s">
        <v>52</v>
      </c>
      <c r="L59" s="318">
        <f>J58+K58</f>
        <v>12430</v>
      </c>
    </row>
    <row r="60" spans="2:12" ht="24.95" customHeight="1" thickBot="1">
      <c r="B60" s="256" t="s">
        <v>10</v>
      </c>
      <c r="C60" s="246">
        <f t="shared" si="17"/>
        <v>350</v>
      </c>
      <c r="D60" s="272">
        <f>D48</f>
        <v>2000</v>
      </c>
      <c r="E60" s="272">
        <f>E48</f>
        <v>2500</v>
      </c>
      <c r="F60" s="272">
        <f>F48</f>
        <v>1500</v>
      </c>
      <c r="G60" s="272">
        <f>G48</f>
        <v>20000</v>
      </c>
      <c r="H60" s="273">
        <f>H48</f>
        <v>26350</v>
      </c>
      <c r="I60" s="294"/>
      <c r="J60" s="249"/>
      <c r="K60" s="318" t="s">
        <v>55</v>
      </c>
      <c r="L60" s="318">
        <f>H59</f>
        <v>12430</v>
      </c>
    </row>
    <row r="61" spans="2:12" ht="24.95" customHeight="1">
      <c r="B61" s="290" t="s">
        <v>48</v>
      </c>
      <c r="C61" s="295"/>
      <c r="D61" s="295"/>
      <c r="E61" s="296"/>
      <c r="I61" s="10"/>
      <c r="J61" s="10"/>
      <c r="K61" s="10"/>
      <c r="L61" s="10"/>
    </row>
    <row r="63" spans="2:12" ht="24.95" customHeight="1" thickBot="1">
      <c r="B63" s="182" t="s">
        <v>63</v>
      </c>
      <c r="C63" s="168"/>
      <c r="D63" s="168"/>
      <c r="E63" s="168"/>
      <c r="F63" s="168"/>
      <c r="G63" s="168"/>
      <c r="H63" s="168"/>
      <c r="I63" s="168"/>
      <c r="J63" s="168"/>
      <c r="K63" s="168"/>
      <c r="L63" s="168"/>
    </row>
    <row r="64" spans="2:12" ht="24.95" customHeight="1" thickTop="1" thickBot="1">
      <c r="B64" s="389" t="s">
        <v>33</v>
      </c>
      <c r="C64" s="381" t="s">
        <v>8</v>
      </c>
      <c r="D64" s="407"/>
      <c r="E64" s="382"/>
      <c r="F64" s="382"/>
      <c r="G64" s="382"/>
      <c r="H64" s="383"/>
      <c r="I64" s="195" t="s">
        <v>7</v>
      </c>
      <c r="J64" s="386" t="s">
        <v>0</v>
      </c>
      <c r="K64" s="384" t="s">
        <v>18</v>
      </c>
      <c r="L64" s="408" t="s">
        <v>2</v>
      </c>
    </row>
    <row r="65" spans="2:15" ht="24.95" customHeight="1" thickBot="1">
      <c r="B65" s="406"/>
      <c r="C65" s="223" t="s">
        <v>3</v>
      </c>
      <c r="D65" s="264" t="s">
        <v>21</v>
      </c>
      <c r="E65" s="224" t="s">
        <v>22</v>
      </c>
      <c r="F65" s="225" t="s">
        <v>29</v>
      </c>
      <c r="G65" s="225" t="s">
        <v>4</v>
      </c>
      <c r="H65" s="226" t="s">
        <v>2</v>
      </c>
      <c r="I65" s="275" t="s">
        <v>23</v>
      </c>
      <c r="J65" s="411"/>
      <c r="K65" s="385"/>
      <c r="L65" s="409"/>
      <c r="N65" s="293">
        <f xml:space="preserve"> SUM(D42:G45)</f>
        <v>13678</v>
      </c>
      <c r="O65" s="293">
        <f>H54+H55+H56+H57</f>
        <v>13678</v>
      </c>
    </row>
    <row r="66" spans="2:15" ht="24.95" customHeight="1" thickTop="1">
      <c r="B66" s="227" t="s">
        <v>5</v>
      </c>
      <c r="C66" s="228">
        <f>C53</f>
        <v>17.5</v>
      </c>
      <c r="D66" s="336">
        <f t="shared" ref="D66:G66" si="20">D53</f>
        <v>182.5</v>
      </c>
      <c r="E66" s="336">
        <f t="shared" si="20"/>
        <v>0</v>
      </c>
      <c r="F66" s="336">
        <f t="shared" si="20"/>
        <v>0</v>
      </c>
      <c r="G66" s="336">
        <f t="shared" si="20"/>
        <v>0</v>
      </c>
      <c r="H66" s="269">
        <f>H53</f>
        <v>200</v>
      </c>
      <c r="I66" s="285">
        <f>I53</f>
        <v>200</v>
      </c>
      <c r="J66" s="279">
        <f>J53</f>
        <v>150</v>
      </c>
      <c r="K66" s="280">
        <f>K53</f>
        <v>0</v>
      </c>
      <c r="L66" s="206">
        <f>H66+J66+K66</f>
        <v>350</v>
      </c>
    </row>
    <row r="67" spans="2:15" ht="24.95" customHeight="1">
      <c r="B67" s="233" t="s">
        <v>19</v>
      </c>
      <c r="C67" s="234">
        <f t="shared" ref="C67:H73" si="21">C54</f>
        <v>24.5</v>
      </c>
      <c r="D67" s="292">
        <v>294.65932532226714</v>
      </c>
      <c r="E67" s="292">
        <v>119.66181908817033</v>
      </c>
      <c r="F67" s="292">
        <v>288.8739744765968</v>
      </c>
      <c r="G67" s="292">
        <v>172.30488111296577</v>
      </c>
      <c r="H67" s="270">
        <f>SUM(C67:G67)</f>
        <v>900</v>
      </c>
      <c r="I67" s="276">
        <f t="shared" ref="I67:J70" si="22">I54</f>
        <v>900</v>
      </c>
      <c r="J67" s="281">
        <f t="shared" si="22"/>
        <v>800</v>
      </c>
      <c r="K67" s="282">
        <f t="shared" ref="K67" si="23">K54</f>
        <v>300</v>
      </c>
      <c r="L67" s="206">
        <f>H67+J67+K67</f>
        <v>2000</v>
      </c>
    </row>
    <row r="68" spans="2:15" ht="24.95" customHeight="1">
      <c r="B68" s="233" t="s">
        <v>20</v>
      </c>
      <c r="C68" s="234">
        <f t="shared" si="21"/>
        <v>0</v>
      </c>
      <c r="D68" s="292">
        <v>262.25192712965827</v>
      </c>
      <c r="E68" s="292">
        <v>663.58378511985529</v>
      </c>
      <c r="F68" s="292">
        <v>74.164287750486295</v>
      </c>
      <c r="G68" s="292">
        <v>0</v>
      </c>
      <c r="H68" s="270">
        <f t="shared" ref="H68:H70" si="24">SUM(C68:G68)</f>
        <v>999.99999999999989</v>
      </c>
      <c r="I68" s="276">
        <f t="shared" si="22"/>
        <v>1000</v>
      </c>
      <c r="J68" s="281">
        <f t="shared" si="22"/>
        <v>700</v>
      </c>
      <c r="K68" s="282">
        <f t="shared" ref="K68" si="25">K55</f>
        <v>800</v>
      </c>
      <c r="L68" s="206">
        <f>H68+J68+K68</f>
        <v>2500</v>
      </c>
    </row>
    <row r="69" spans="2:15" ht="24.95" customHeight="1">
      <c r="B69" s="233" t="s">
        <v>29</v>
      </c>
      <c r="C69" s="234">
        <f t="shared" si="21"/>
        <v>0</v>
      </c>
      <c r="D69" s="292">
        <v>37.943332253436495</v>
      </c>
      <c r="E69" s="292">
        <v>0</v>
      </c>
      <c r="F69" s="292">
        <v>209.24072789087876</v>
      </c>
      <c r="G69" s="292">
        <v>332.81593985568475</v>
      </c>
      <c r="H69" s="270">
        <f t="shared" si="24"/>
        <v>580</v>
      </c>
      <c r="I69" s="276">
        <f t="shared" si="22"/>
        <v>600</v>
      </c>
      <c r="J69" s="365">
        <f t="shared" si="22"/>
        <v>110</v>
      </c>
      <c r="K69" s="363">
        <f t="shared" ref="K69" si="26">K56</f>
        <v>810</v>
      </c>
      <c r="L69" s="206">
        <f>H69+J69+K69</f>
        <v>1500</v>
      </c>
    </row>
    <row r="70" spans="2:15" ht="24.95" customHeight="1" thickBot="1">
      <c r="B70" s="233" t="s">
        <v>4</v>
      </c>
      <c r="C70" s="234">
        <f t="shared" si="21"/>
        <v>17.5</v>
      </c>
      <c r="D70" s="292">
        <v>184.4148406650753</v>
      </c>
      <c r="E70" s="292">
        <v>168.50538964813629</v>
      </c>
      <c r="F70" s="292">
        <v>254.24160980975759</v>
      </c>
      <c r="G70" s="292">
        <v>10615.33815987703</v>
      </c>
      <c r="H70" s="270">
        <f t="shared" si="24"/>
        <v>11240</v>
      </c>
      <c r="I70" s="286">
        <f t="shared" si="22"/>
        <v>11250</v>
      </c>
      <c r="J70" s="283">
        <f t="shared" si="22"/>
        <v>8700</v>
      </c>
      <c r="K70" s="364">
        <f t="shared" ref="K70" si="27">K57</f>
        <v>60</v>
      </c>
      <c r="L70" s="206">
        <f>H70+J70+K70</f>
        <v>20000</v>
      </c>
    </row>
    <row r="71" spans="2:15" ht="24.95" customHeight="1" thickBot="1">
      <c r="B71" s="256" t="s">
        <v>44</v>
      </c>
      <c r="C71" s="234">
        <f t="shared" si="21"/>
        <v>59.5</v>
      </c>
      <c r="D71" s="277">
        <f>D58</f>
        <v>961.76942537043726</v>
      </c>
      <c r="E71" s="277">
        <f t="shared" ref="E71:H71" si="28">E58</f>
        <v>951.75099385616193</v>
      </c>
      <c r="F71" s="277">
        <f t="shared" si="28"/>
        <v>826.52059992771956</v>
      </c>
      <c r="G71" s="277">
        <f t="shared" si="28"/>
        <v>11120.45898084568</v>
      </c>
      <c r="H71" s="297">
        <f t="shared" si="28"/>
        <v>13920</v>
      </c>
      <c r="I71" s="240">
        <f>SUM(I66:I70)</f>
        <v>13950</v>
      </c>
      <c r="J71" s="278">
        <f>SUM(J66:J70)</f>
        <v>10460</v>
      </c>
      <c r="K71" s="263">
        <f>SUM(K66:K70)</f>
        <v>1970</v>
      </c>
      <c r="L71" s="242">
        <f>SUM(L66:L70)</f>
        <v>26350</v>
      </c>
    </row>
    <row r="72" spans="2:15" ht="24.95" customHeight="1" thickTop="1">
      <c r="B72" s="256" t="s">
        <v>28</v>
      </c>
      <c r="C72" s="234">
        <f t="shared" si="21"/>
        <v>290.5</v>
      </c>
      <c r="D72" s="277">
        <f>D59</f>
        <v>1038.2305746295629</v>
      </c>
      <c r="E72" s="277">
        <f t="shared" ref="E72:H72" si="29">E59</f>
        <v>1548.249006143838</v>
      </c>
      <c r="F72" s="277">
        <f t="shared" si="29"/>
        <v>673.47940007228044</v>
      </c>
      <c r="G72" s="277">
        <f t="shared" si="29"/>
        <v>8879.5410191543197</v>
      </c>
      <c r="H72" s="297">
        <f t="shared" si="29"/>
        <v>12430</v>
      </c>
      <c r="I72" s="318" t="s">
        <v>47</v>
      </c>
      <c r="J72" s="318">
        <f>H72</f>
        <v>12430</v>
      </c>
      <c r="K72" s="318" t="s">
        <v>52</v>
      </c>
      <c r="L72" s="318">
        <f>J71+K71</f>
        <v>12430</v>
      </c>
    </row>
    <row r="73" spans="2:15" ht="24.95" customHeight="1" thickBot="1">
      <c r="B73" s="256" t="s">
        <v>10</v>
      </c>
      <c r="C73" s="246">
        <f t="shared" si="21"/>
        <v>350</v>
      </c>
      <c r="D73" s="272">
        <f t="shared" si="21"/>
        <v>2000</v>
      </c>
      <c r="E73" s="272">
        <f t="shared" si="21"/>
        <v>2500</v>
      </c>
      <c r="F73" s="272">
        <f t="shared" si="21"/>
        <v>1500</v>
      </c>
      <c r="G73" s="272">
        <f t="shared" si="21"/>
        <v>20000</v>
      </c>
      <c r="H73" s="273">
        <f t="shared" si="21"/>
        <v>26350</v>
      </c>
      <c r="I73" s="294"/>
      <c r="J73" s="249"/>
      <c r="K73" s="318" t="s">
        <v>55</v>
      </c>
      <c r="L73" s="318">
        <f>H72</f>
        <v>12430</v>
      </c>
    </row>
    <row r="74" spans="2:15" ht="24.95" customHeight="1">
      <c r="B74" s="290" t="s">
        <v>48</v>
      </c>
      <c r="C74" s="295"/>
      <c r="D74" s="295"/>
      <c r="E74" s="296"/>
      <c r="J74" s="10"/>
      <c r="K74" s="10"/>
      <c r="L74" s="10"/>
    </row>
    <row r="75" spans="2:15" ht="24.95" customHeight="1">
      <c r="I75" s="10"/>
    </row>
  </sheetData>
  <mergeCells count="25">
    <mergeCell ref="B15:B16"/>
    <mergeCell ref="C15:H15"/>
    <mergeCell ref="J15:J16"/>
    <mergeCell ref="K15:K16"/>
    <mergeCell ref="L15:L16"/>
    <mergeCell ref="B27:B28"/>
    <mergeCell ref="C27:H27"/>
    <mergeCell ref="J27:J28"/>
    <mergeCell ref="K27:K28"/>
    <mergeCell ref="L27:L28"/>
    <mergeCell ref="B39:B40"/>
    <mergeCell ref="C39:H39"/>
    <mergeCell ref="J39:J40"/>
    <mergeCell ref="K39:K40"/>
    <mergeCell ref="L39:L40"/>
    <mergeCell ref="B51:B52"/>
    <mergeCell ref="C51:H51"/>
    <mergeCell ref="J51:J52"/>
    <mergeCell ref="K51:K52"/>
    <mergeCell ref="L51:L52"/>
    <mergeCell ref="B64:B65"/>
    <mergeCell ref="C64:H64"/>
    <mergeCell ref="J64:J65"/>
    <mergeCell ref="K64:K65"/>
    <mergeCell ref="L64:L65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G6" sqref="G6"/>
    </sheetView>
  </sheetViews>
  <sheetFormatPr baseColWidth="10" defaultRowHeight="12.75"/>
  <cols>
    <col min="1" max="6" width="20.7109375" customWidth="1"/>
  </cols>
  <sheetData>
    <row r="1" spans="1:10" ht="24.95" customHeight="1" thickBot="1"/>
    <row r="2" spans="1:10" ht="24.95" customHeight="1" thickBot="1">
      <c r="A2" s="326" t="s">
        <v>60</v>
      </c>
      <c r="B2" s="337" t="s">
        <v>21</v>
      </c>
      <c r="C2" s="338" t="s">
        <v>22</v>
      </c>
      <c r="D2" s="338" t="s">
        <v>29</v>
      </c>
      <c r="E2" s="338" t="s">
        <v>4</v>
      </c>
      <c r="F2" s="339" t="s">
        <v>2</v>
      </c>
      <c r="G2" s="300"/>
    </row>
    <row r="3" spans="1:10" ht="24.95" customHeight="1">
      <c r="A3" s="306" t="s">
        <v>19</v>
      </c>
      <c r="B3" s="340">
        <f>'arbitrage  final 3° méthode (F)'!D42</f>
        <v>307.60635211990945</v>
      </c>
      <c r="C3" s="341">
        <f>'arbitrage  final 3° méthode (F)'!E42</f>
        <v>125.23039392844235</v>
      </c>
      <c r="D3" s="341">
        <f>'arbitrage  final 3° méthode (F)'!F42</f>
        <v>300.55294542826169</v>
      </c>
      <c r="E3" s="341">
        <f>'arbitrage  final 3° méthode (F)'!G42</f>
        <v>200.36863028550775</v>
      </c>
      <c r="F3" s="342">
        <f t="shared" ref="F3:F6" si="0">SUM(B3:E3)</f>
        <v>933.75832176212123</v>
      </c>
    </row>
    <row r="4" spans="1:10" ht="24.95" customHeight="1">
      <c r="A4" s="307" t="s">
        <v>20</v>
      </c>
      <c r="B4" s="343">
        <f>'arbitrage  final 3° méthode (F)'!D43</f>
        <v>266.59217183725485</v>
      </c>
      <c r="C4" s="344">
        <f>'arbitrage  final 3° méthode (F)'!E43</f>
        <v>676.24412721358874</v>
      </c>
      <c r="D4" s="344">
        <f>'arbitrage  final 3° méthode (F)'!F43</f>
        <v>75.138236357065423</v>
      </c>
      <c r="E4" s="344">
        <f>'arbitrage  final 3° méthode (F)'!G43</f>
        <v>0</v>
      </c>
      <c r="F4" s="345">
        <f t="shared" si="0"/>
        <v>1017.974535407909</v>
      </c>
    </row>
    <row r="5" spans="1:10" ht="24.95" customHeight="1">
      <c r="A5" s="307" t="s">
        <v>29</v>
      </c>
      <c r="B5" s="343">
        <f>'arbitrage  final 3° méthode (F)'!D44</f>
        <v>41.014180282654593</v>
      </c>
      <c r="C5" s="344">
        <f>'arbitrage  final 3° méthode (F)'!E44</f>
        <v>0</v>
      </c>
      <c r="D5" s="344">
        <f>'arbitrage  final 3° méthode (F)'!F44</f>
        <v>225.41470907119623</v>
      </c>
      <c r="E5" s="344">
        <f>'arbitrage  final 3° méthode (F)'!G44</f>
        <v>400.7372605710155</v>
      </c>
      <c r="F5" s="345">
        <f t="shared" si="0"/>
        <v>667.16614992486632</v>
      </c>
    </row>
    <row r="6" spans="1:10" ht="24.95" customHeight="1">
      <c r="A6" s="307" t="s">
        <v>4</v>
      </c>
      <c r="B6" s="343">
        <f>'arbitrage  final 3° méthode (F)'!D45</f>
        <v>164.05672113061837</v>
      </c>
      <c r="C6" s="344">
        <f>'arbitrage  final 3° méthode (F)'!E45</f>
        <v>150.27647271413082</v>
      </c>
      <c r="D6" s="344">
        <f>'arbitrage  final 3° méthode (F)'!F45</f>
        <v>225.41470907119623</v>
      </c>
      <c r="E6" s="344">
        <f>'arbitrage  final 3° méthode (F)'!G45</f>
        <v>10519.353089989158</v>
      </c>
      <c r="F6" s="345">
        <f t="shared" si="0"/>
        <v>11059.100992905103</v>
      </c>
    </row>
    <row r="7" spans="1:10" ht="24.95" customHeight="1" thickBot="1">
      <c r="A7" s="349" t="s">
        <v>2</v>
      </c>
      <c r="B7" s="346">
        <f>SUM(B3:B6)</f>
        <v>779.26942537043726</v>
      </c>
      <c r="C7" s="347">
        <f t="shared" ref="C7:F7" si="1">SUM(C3:C6)</f>
        <v>951.75099385616193</v>
      </c>
      <c r="D7" s="347">
        <f t="shared" si="1"/>
        <v>826.52059992771956</v>
      </c>
      <c r="E7" s="347">
        <f t="shared" si="1"/>
        <v>11120.45898084568</v>
      </c>
      <c r="F7" s="348">
        <f t="shared" si="1"/>
        <v>13678</v>
      </c>
      <c r="G7" s="293"/>
    </row>
    <row r="8" spans="1:10" ht="24.95" customHeight="1" thickBot="1">
      <c r="A8" s="299"/>
    </row>
    <row r="9" spans="1:10" ht="24.95" customHeight="1" thickBot="1">
      <c r="A9" s="326" t="s">
        <v>59</v>
      </c>
      <c r="B9" s="370" t="s">
        <v>21</v>
      </c>
      <c r="C9" s="371" t="s">
        <v>22</v>
      </c>
      <c r="D9" s="371" t="s">
        <v>29</v>
      </c>
      <c r="E9" s="371" t="s">
        <v>4</v>
      </c>
      <c r="F9" s="372" t="s">
        <v>50</v>
      </c>
    </row>
    <row r="10" spans="1:10" ht="24.95" customHeight="1">
      <c r="A10" s="367" t="s">
        <v>19</v>
      </c>
      <c r="B10" s="340">
        <v>294.65932532226714</v>
      </c>
      <c r="C10" s="341">
        <v>119.66181908817033</v>
      </c>
      <c r="D10" s="341">
        <v>288.8739744765968</v>
      </c>
      <c r="E10" s="341">
        <v>172.30488111296577</v>
      </c>
      <c r="F10" s="342">
        <f t="shared" ref="F10:F14" si="2">SUM(B10:E10)</f>
        <v>875.5</v>
      </c>
      <c r="H10" s="379"/>
      <c r="I10" s="116"/>
      <c r="J10" s="116"/>
    </row>
    <row r="11" spans="1:10" ht="24.95" customHeight="1">
      <c r="A11" s="368" t="s">
        <v>20</v>
      </c>
      <c r="B11" s="343">
        <v>262.25192712965827</v>
      </c>
      <c r="C11" s="344">
        <v>663.58378511985529</v>
      </c>
      <c r="D11" s="344">
        <v>74.164287750486295</v>
      </c>
      <c r="E11" s="344">
        <v>0</v>
      </c>
      <c r="F11" s="345">
        <f t="shared" si="2"/>
        <v>999.99999999999989</v>
      </c>
      <c r="H11" s="116"/>
      <c r="I11" s="116"/>
      <c r="J11" s="116"/>
    </row>
    <row r="12" spans="1:10" ht="24.95" customHeight="1">
      <c r="A12" s="368" t="s">
        <v>29</v>
      </c>
      <c r="B12" s="343">
        <v>37.943332253436495</v>
      </c>
      <c r="C12" s="344">
        <v>0</v>
      </c>
      <c r="D12" s="344">
        <v>209.24072789087876</v>
      </c>
      <c r="E12" s="344">
        <v>332.81593985568475</v>
      </c>
      <c r="F12" s="345">
        <f t="shared" si="2"/>
        <v>580</v>
      </c>
    </row>
    <row r="13" spans="1:10" ht="24.95" customHeight="1">
      <c r="A13" s="368" t="s">
        <v>4</v>
      </c>
      <c r="B13" s="343">
        <v>184.4148406650753</v>
      </c>
      <c r="C13" s="344">
        <v>168.50538964813629</v>
      </c>
      <c r="D13" s="344">
        <v>254.24160980975759</v>
      </c>
      <c r="E13" s="344">
        <v>10615.33815987703</v>
      </c>
      <c r="F13" s="345">
        <f t="shared" si="2"/>
        <v>11222.5</v>
      </c>
    </row>
    <row r="14" spans="1:10" ht="24.95" customHeight="1" thickBot="1">
      <c r="A14" s="369" t="s">
        <v>2</v>
      </c>
      <c r="B14" s="346">
        <f>RAS!B7</f>
        <v>779.26942537043726</v>
      </c>
      <c r="C14" s="347">
        <f>RAS!C7</f>
        <v>951.75099385616193</v>
      </c>
      <c r="D14" s="347">
        <f>RAS!D7</f>
        <v>826.52059992771956</v>
      </c>
      <c r="E14" s="347">
        <f>RAS!E7</f>
        <v>11120.45898084568</v>
      </c>
      <c r="F14" s="348">
        <f t="shared" si="2"/>
        <v>13678</v>
      </c>
    </row>
    <row r="15" spans="1:10" ht="24.95" customHeight="1"/>
    <row r="16" spans="1:10" ht="24.95" customHeight="1"/>
    <row r="17" spans="6:6" ht="24.95" customHeight="1">
      <c r="F17" s="293"/>
    </row>
    <row r="18" spans="6:6" ht="24.95" customHeight="1">
      <c r="F18" s="293"/>
    </row>
    <row r="19" spans="6:6" ht="24.95" customHeight="1">
      <c r="F19" s="293"/>
    </row>
    <row r="20" spans="6:6" ht="24.95" customHeight="1">
      <c r="F20" s="293"/>
    </row>
    <row r="21" spans="6:6" ht="24.9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Enoncé</vt:lpstr>
      <vt:lpstr>arbitrage emplois finals et ag </vt:lpstr>
      <vt:lpstr>arbitrage Indus A</vt:lpstr>
      <vt:lpstr>arbitage Indus B</vt:lpstr>
      <vt:lpstr>arbitage BTP services 1° méthod</vt:lpstr>
      <vt:lpstr>arbitrage  final 2° méthode</vt:lpstr>
      <vt:lpstr>arbitrage  final 3° méthode (F)</vt:lpstr>
      <vt:lpstr>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Brabant</dc:creator>
  <cp:lastModifiedBy>pc</cp:lastModifiedBy>
  <dcterms:created xsi:type="dcterms:W3CDTF">2018-12-09T18:14:38Z</dcterms:created>
  <dcterms:modified xsi:type="dcterms:W3CDTF">2020-05-05T09:07:37Z</dcterms:modified>
</cp:coreProperties>
</file>