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7175F6C9-E0C5-45CB-BD56-76823B3DB913}" xr6:coauthVersionLast="36" xr6:coauthVersionMax="36" xr10:uidLastSave="{00000000-0000-0000-0000-000000000000}"/>
  <bookViews>
    <workbookView xWindow="0" yWindow="0" windowWidth="16380" windowHeight="8190" tabRatio="500" firstSheet="3" activeTab="4" xr2:uid="{00000000-000D-0000-FFFF-FFFF00000000}"/>
  </bookViews>
  <sheets>
    <sheet name="organisation du TES" sheetId="1" r:id="rId1"/>
    <sheet name="TEF" sheetId="3" r:id="rId2"/>
    <sheet name="TEF (2)" sheetId="6" r:id="rId3"/>
    <sheet name="TEI" sheetId="4" r:id="rId4"/>
    <sheet name="construction synthèse" sheetId="7" r:id="rId5"/>
    <sheet name="CSL" sheetId="8" r:id="rId6"/>
    <sheet name="SDES" sheetId="13" r:id="rId7"/>
    <sheet name="FFB 2022" sheetId="18" r:id="rId8"/>
    <sheet name="mondial" sheetId="9" r:id="rId9"/>
    <sheet name="synthése 43Z" sheetId="14" r:id="rId10"/>
    <sheet name="Feuil2" sheetId="15" state="hidden" r:id="rId11"/>
    <sheet name="synthèse 41B" sheetId="17" r:id="rId12"/>
    <sheet name="ERE HTD" sheetId="16" r:id="rId13"/>
    <sheet name="Canada" sheetId="11" r:id="rId14"/>
    <sheet name="USA" sheetId="12" r:id="rId15"/>
  </sheets>
  <externalReferences>
    <externalReference r:id="rId16"/>
    <externalReference r:id="rId17"/>
  </externalReferences>
  <definedNames>
    <definedName name="COMPTE_D_EXPLOITATION_PAR_BRANCHE" localSheetId="4">#REF!</definedName>
    <definedName name="COMPTE_D_EXPLOITATION_PAR_BRANCHE" localSheetId="2">#REF!</definedName>
    <definedName name="COMPTE_D_EXPLOITATION_PAR_BRANCHE">#REF!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Q11" i="7" l="1"/>
  <c r="P12" i="7"/>
  <c r="P11" i="7"/>
  <c r="S9" i="7"/>
  <c r="O14" i="7"/>
  <c r="D34" i="13"/>
  <c r="G33" i="13" s="1"/>
  <c r="P9" i="7" l="1"/>
  <c r="J15" i="7" l="1"/>
  <c r="K14" i="7" s="1"/>
  <c r="J14" i="7"/>
  <c r="G15" i="7"/>
  <c r="G14" i="7"/>
  <c r="N12" i="7"/>
  <c r="N11" i="7"/>
  <c r="G12" i="7"/>
  <c r="S11" i="7" l="1"/>
  <c r="K54" i="14"/>
  <c r="K53" i="14"/>
  <c r="K51" i="14"/>
  <c r="K50" i="14"/>
  <c r="F29" i="8"/>
  <c r="T11" i="7"/>
  <c r="K42" i="14"/>
  <c r="J43" i="14"/>
  <c r="J42" i="14"/>
  <c r="L34" i="13"/>
  <c r="I77" i="14"/>
  <c r="I74" i="14"/>
  <c r="Z14" i="7" l="1"/>
  <c r="I37" i="13"/>
  <c r="D29" i="8"/>
  <c r="M28" i="8"/>
  <c r="G11" i="7"/>
  <c r="K4" i="14"/>
  <c r="K5" i="14"/>
  <c r="L47" i="14"/>
  <c r="K48" i="14"/>
  <c r="K47" i="14"/>
  <c r="K45" i="14"/>
  <c r="J36" i="17"/>
  <c r="J4" i="17"/>
  <c r="L12" i="14"/>
  <c r="J5" i="17"/>
  <c r="M106" i="17"/>
  <c r="R105" i="17"/>
  <c r="M105" i="17"/>
  <c r="M102" i="17"/>
  <c r="T101" i="17"/>
  <c r="M101" i="17"/>
  <c r="T100" i="17"/>
  <c r="M100" i="17"/>
  <c r="U99" i="17"/>
  <c r="M99" i="17"/>
  <c r="U98" i="17"/>
  <c r="M98" i="17"/>
  <c r="R96" i="17"/>
  <c r="M96" i="17"/>
  <c r="M93" i="17"/>
  <c r="T91" i="17"/>
  <c r="M91" i="17"/>
  <c r="T90" i="17"/>
  <c r="O90" i="17"/>
  <c r="M90" i="17"/>
  <c r="U89" i="17"/>
  <c r="M89" i="17"/>
  <c r="U88" i="17"/>
  <c r="M88" i="17"/>
  <c r="M92" i="17" s="1"/>
  <c r="M94" i="17" s="1"/>
  <c r="R86" i="17"/>
  <c r="M86" i="17"/>
  <c r="R84" i="17"/>
  <c r="M84" i="17"/>
  <c r="T83" i="17"/>
  <c r="O83" i="17"/>
  <c r="M83" i="17"/>
  <c r="M82" i="17"/>
  <c r="T81" i="17"/>
  <c r="M81" i="17"/>
  <c r="U80" i="17"/>
  <c r="M80" i="17"/>
  <c r="R78" i="17"/>
  <c r="M78" i="17"/>
  <c r="T77" i="17"/>
  <c r="S76" i="17"/>
  <c r="N76" i="17"/>
  <c r="M75" i="17"/>
  <c r="M74" i="17"/>
  <c r="T73" i="17"/>
  <c r="M73" i="17"/>
  <c r="D73" i="17"/>
  <c r="N105" i="17" s="1"/>
  <c r="M72" i="17"/>
  <c r="T71" i="17"/>
  <c r="M71" i="17"/>
  <c r="U70" i="17"/>
  <c r="M70" i="17"/>
  <c r="R68" i="17"/>
  <c r="M68" i="17"/>
  <c r="M66" i="17"/>
  <c r="R65" i="17"/>
  <c r="N65" i="17"/>
  <c r="M65" i="17"/>
  <c r="T64" i="17"/>
  <c r="M64" i="17"/>
  <c r="T63" i="17"/>
  <c r="N63" i="17"/>
  <c r="V63" i="17" s="1"/>
  <c r="M63" i="17"/>
  <c r="U62" i="17"/>
  <c r="M62" i="17"/>
  <c r="U61" i="17"/>
  <c r="M61" i="17"/>
  <c r="R59" i="17"/>
  <c r="M59" i="17"/>
  <c r="C50" i="17"/>
  <c r="C43" i="17"/>
  <c r="C42" i="17" s="1"/>
  <c r="E41" i="17"/>
  <c r="C41" i="17"/>
  <c r="C39" i="17" s="1"/>
  <c r="E40" i="17"/>
  <c r="O73" i="17" s="1"/>
  <c r="D40" i="17"/>
  <c r="N73" i="17" s="1"/>
  <c r="V73" i="17" s="1"/>
  <c r="E39" i="17"/>
  <c r="H38" i="17"/>
  <c r="R82" i="17" s="1"/>
  <c r="F38" i="17"/>
  <c r="P82" i="17" s="1"/>
  <c r="E38" i="17"/>
  <c r="O82" i="17" s="1"/>
  <c r="C38" i="17"/>
  <c r="C44" i="17" s="1"/>
  <c r="F37" i="17"/>
  <c r="P72" i="17" s="1"/>
  <c r="E37" i="17"/>
  <c r="O72" i="17" s="1"/>
  <c r="E36" i="17"/>
  <c r="C36" i="17"/>
  <c r="C33" i="17"/>
  <c r="U32" i="17"/>
  <c r="T32" i="17" s="1"/>
  <c r="O32" i="17"/>
  <c r="C32" i="17"/>
  <c r="U31" i="17"/>
  <c r="T31" i="17"/>
  <c r="T82" i="17" s="1"/>
  <c r="U30" i="17"/>
  <c r="T30" i="17"/>
  <c r="T72" i="17" s="1"/>
  <c r="U29" i="17"/>
  <c r="T29" i="17"/>
  <c r="U28" i="17"/>
  <c r="T28" i="17"/>
  <c r="Q25" i="17"/>
  <c r="P25" i="17"/>
  <c r="R25" i="17" s="1"/>
  <c r="O25" i="17"/>
  <c r="T24" i="17"/>
  <c r="S24" i="17"/>
  <c r="R24" i="17"/>
  <c r="E24" i="17"/>
  <c r="O91" i="17" s="1"/>
  <c r="D24" i="17"/>
  <c r="C24" i="17"/>
  <c r="C21" i="17" s="1"/>
  <c r="S23" i="17"/>
  <c r="R23" i="17"/>
  <c r="E23" i="17"/>
  <c r="O71" i="17" s="1"/>
  <c r="D23" i="17"/>
  <c r="S22" i="17"/>
  <c r="Q22" i="17"/>
  <c r="P22" i="17"/>
  <c r="O22" i="17"/>
  <c r="E22" i="17"/>
  <c r="C22" i="17"/>
  <c r="S21" i="17"/>
  <c r="T21" i="17" s="1"/>
  <c r="R21" i="17"/>
  <c r="E21" i="17"/>
  <c r="S20" i="17"/>
  <c r="R20" i="17"/>
  <c r="E20" i="17"/>
  <c r="D20" i="17"/>
  <c r="N100" i="17" s="1"/>
  <c r="V100" i="17" s="1"/>
  <c r="C20" i="17"/>
  <c r="C30" i="17" s="1"/>
  <c r="E19" i="17"/>
  <c r="E18" i="17"/>
  <c r="C18" i="17"/>
  <c r="C56" i="17" s="1"/>
  <c r="E17" i="17"/>
  <c r="C17" i="17"/>
  <c r="C55" i="17" s="1"/>
  <c r="E16" i="17"/>
  <c r="C16" i="17"/>
  <c r="C26" i="17" s="1"/>
  <c r="E15" i="17"/>
  <c r="T14" i="17"/>
  <c r="S14" i="17"/>
  <c r="R14" i="17"/>
  <c r="F14" i="17"/>
  <c r="E14" i="17"/>
  <c r="C14" i="17"/>
  <c r="C34" i="17" s="1"/>
  <c r="H13" i="17"/>
  <c r="G13" i="17"/>
  <c r="F13" i="17"/>
  <c r="E13" i="17"/>
  <c r="H12" i="17"/>
  <c r="F12" i="17"/>
  <c r="E12" i="17"/>
  <c r="C12" i="17"/>
  <c r="E11" i="17"/>
  <c r="C11" i="17"/>
  <c r="C31" i="17" s="1"/>
  <c r="F10" i="17"/>
  <c r="P98" i="17" s="1"/>
  <c r="E10" i="17"/>
  <c r="C10" i="17"/>
  <c r="F9" i="17"/>
  <c r="E9" i="17"/>
  <c r="C9" i="17"/>
  <c r="E8" i="17"/>
  <c r="E7" i="17"/>
  <c r="C7" i="17"/>
  <c r="E6" i="17"/>
  <c r="C6" i="17"/>
  <c r="E5" i="17"/>
  <c r="E73" i="17" s="1"/>
  <c r="C58" i="17" l="1"/>
  <c r="C46" i="17"/>
  <c r="C51" i="17"/>
  <c r="C27" i="17"/>
  <c r="R62" i="17"/>
  <c r="R99" i="17"/>
  <c r="G12" i="17"/>
  <c r="P89" i="17"/>
  <c r="V89" i="17" s="1"/>
  <c r="P80" i="17"/>
  <c r="V80" i="17" s="1"/>
  <c r="H14" i="17"/>
  <c r="O65" i="17"/>
  <c r="O105" i="17"/>
  <c r="G73" i="17"/>
  <c r="R88" i="17"/>
  <c r="R70" i="17"/>
  <c r="H7" i="17"/>
  <c r="O64" i="17"/>
  <c r="O101" i="17"/>
  <c r="O99" i="17"/>
  <c r="T99" i="17" s="1"/>
  <c r="O62" i="17"/>
  <c r="T62" i="17" s="1"/>
  <c r="C5" i="17"/>
  <c r="Q70" i="17"/>
  <c r="Q88" i="17"/>
  <c r="O61" i="17"/>
  <c r="T61" i="17" s="1"/>
  <c r="O98" i="17"/>
  <c r="T98" i="17" s="1"/>
  <c r="D12" i="17"/>
  <c r="D13" i="17"/>
  <c r="S25" i="17"/>
  <c r="G7" i="17"/>
  <c r="H10" i="17"/>
  <c r="O89" i="17"/>
  <c r="T89" i="17" s="1"/>
  <c r="O80" i="17"/>
  <c r="T80" i="17" s="1"/>
  <c r="C54" i="17"/>
  <c r="C53" i="17" s="1"/>
  <c r="C15" i="17"/>
  <c r="R22" i="17"/>
  <c r="N91" i="17"/>
  <c r="V91" i="17" s="1"/>
  <c r="N81" i="17"/>
  <c r="V81" i="17" s="1"/>
  <c r="O70" i="17"/>
  <c r="T70" i="17" s="1"/>
  <c r="O88" i="17"/>
  <c r="T88" i="17" s="1"/>
  <c r="H20" i="17"/>
  <c r="D41" i="17"/>
  <c r="P61" i="17"/>
  <c r="N90" i="17"/>
  <c r="V90" i="17" s="1"/>
  <c r="N71" i="17"/>
  <c r="V71" i="17" s="1"/>
  <c r="H24" i="17"/>
  <c r="D38" i="17"/>
  <c r="N82" i="17" s="1"/>
  <c r="V82" i="17" s="1"/>
  <c r="P62" i="17"/>
  <c r="P99" i="17"/>
  <c r="C8" i="17"/>
  <c r="P88" i="17"/>
  <c r="P70" i="17"/>
  <c r="C19" i="17"/>
  <c r="C29" i="17" s="1"/>
  <c r="O63" i="17"/>
  <c r="O100" i="17"/>
  <c r="D22" i="17"/>
  <c r="H37" i="17"/>
  <c r="O81" i="17"/>
  <c r="M103" i="17"/>
  <c r="M104" i="17" s="1"/>
  <c r="G38" i="17"/>
  <c r="H40" i="17"/>
  <c r="H23" i="17"/>
  <c r="N101" i="17" l="1"/>
  <c r="V101" i="17" s="1"/>
  <c r="N64" i="17"/>
  <c r="V64" i="17" s="1"/>
  <c r="H22" i="17"/>
  <c r="R91" i="17"/>
  <c r="R81" i="17"/>
  <c r="H18" i="17"/>
  <c r="G24" i="17"/>
  <c r="C59" i="17"/>
  <c r="C71" i="17" s="1"/>
  <c r="C47" i="17"/>
  <c r="C28" i="17"/>
  <c r="C52" i="17"/>
  <c r="C49" i="17" s="1"/>
  <c r="N83" i="17"/>
  <c r="V83" i="17" s="1"/>
  <c r="H41" i="17"/>
  <c r="R98" i="17"/>
  <c r="R102" i="17" s="1"/>
  <c r="R61" i="17"/>
  <c r="G10" i="17"/>
  <c r="H9" i="17"/>
  <c r="H30" i="17"/>
  <c r="H6" i="17"/>
  <c r="D10" i="17"/>
  <c r="N88" i="17"/>
  <c r="V88" i="17" s="1"/>
  <c r="N70" i="17"/>
  <c r="V70" i="17" s="1"/>
  <c r="D7" i="17"/>
  <c r="H51" i="17"/>
  <c r="F73" i="17"/>
  <c r="Q65" i="17"/>
  <c r="Q105" i="17"/>
  <c r="Q99" i="17"/>
  <c r="Q62" i="17"/>
  <c r="G11" i="17"/>
  <c r="R90" i="17"/>
  <c r="R93" i="17" s="1"/>
  <c r="R71" i="17"/>
  <c r="AA71" i="17" s="1"/>
  <c r="H17" i="17"/>
  <c r="H27" i="17" s="1"/>
  <c r="G23" i="17"/>
  <c r="F7" i="17"/>
  <c r="R89" i="17"/>
  <c r="R92" i="17" s="1"/>
  <c r="R80" i="17"/>
  <c r="AA81" i="17" s="1"/>
  <c r="H34" i="17"/>
  <c r="D14" i="17"/>
  <c r="G14" i="17"/>
  <c r="H8" i="17"/>
  <c r="H11" i="17"/>
  <c r="C70" i="17"/>
  <c r="C69" i="17" s="1"/>
  <c r="G40" i="17"/>
  <c r="H39" i="17"/>
  <c r="D39" i="17" s="1"/>
  <c r="R73" i="17"/>
  <c r="Q82" i="17"/>
  <c r="R72" i="17"/>
  <c r="AA72" i="17" s="1"/>
  <c r="D37" i="17"/>
  <c r="N72" i="17" s="1"/>
  <c r="V72" i="17" s="1"/>
  <c r="H43" i="17"/>
  <c r="G37" i="17"/>
  <c r="G51" i="17" s="1"/>
  <c r="F51" i="17" s="1"/>
  <c r="H36" i="17"/>
  <c r="D36" i="17" s="1"/>
  <c r="R100" i="17"/>
  <c r="G20" i="17"/>
  <c r="R63" i="17"/>
  <c r="H16" i="17"/>
  <c r="H19" i="17"/>
  <c r="D19" i="17" s="1"/>
  <c r="N62" i="17"/>
  <c r="V62" i="17" s="1"/>
  <c r="N99" i="17"/>
  <c r="V99" i="17" s="1"/>
  <c r="H33" i="17"/>
  <c r="AA73" i="17" l="1"/>
  <c r="AD71" i="17" s="1"/>
  <c r="H59" i="17"/>
  <c r="D27" i="17"/>
  <c r="H47" i="17"/>
  <c r="R94" i="17"/>
  <c r="N92" i="17"/>
  <c r="O92" i="17"/>
  <c r="D34" i="17"/>
  <c r="F11" i="17"/>
  <c r="D9" i="17"/>
  <c r="H29" i="17"/>
  <c r="Q73" i="17"/>
  <c r="F40" i="17"/>
  <c r="P73" i="17" s="1"/>
  <c r="Q63" i="17"/>
  <c r="Q100" i="17"/>
  <c r="G19" i="17"/>
  <c r="F19" i="17" s="1"/>
  <c r="F20" i="17"/>
  <c r="H42" i="17"/>
  <c r="D43" i="17"/>
  <c r="Q89" i="17"/>
  <c r="Q92" i="17" s="1"/>
  <c r="Q80" i="17"/>
  <c r="Z81" i="17" s="1"/>
  <c r="G34" i="17"/>
  <c r="F34" i="17" s="1"/>
  <c r="G8" i="17"/>
  <c r="H50" i="17"/>
  <c r="H5" i="17"/>
  <c r="D5" i="17" s="1"/>
  <c r="H26" i="17"/>
  <c r="D6" i="17"/>
  <c r="H31" i="17"/>
  <c r="D11" i="17"/>
  <c r="E51" i="17"/>
  <c r="D51" i="17"/>
  <c r="R83" i="17"/>
  <c r="AA82" i="17" s="1"/>
  <c r="G41" i="17"/>
  <c r="G39" i="17" s="1"/>
  <c r="F39" i="17" s="1"/>
  <c r="H44" i="17"/>
  <c r="H56" i="17"/>
  <c r="D18" i="17"/>
  <c r="D33" i="17"/>
  <c r="R103" i="17"/>
  <c r="N89" i="17"/>
  <c r="N80" i="17"/>
  <c r="N93" i="17"/>
  <c r="O93" i="17"/>
  <c r="P105" i="17"/>
  <c r="P65" i="17"/>
  <c r="D30" i="17"/>
  <c r="R104" i="17"/>
  <c r="N102" i="17"/>
  <c r="C60" i="17"/>
  <c r="C57" i="17" s="1"/>
  <c r="C48" i="17"/>
  <c r="C45" i="17" s="1"/>
  <c r="C25" i="17"/>
  <c r="Q91" i="17"/>
  <c r="Q81" i="17"/>
  <c r="F24" i="17"/>
  <c r="G18" i="17"/>
  <c r="R101" i="17"/>
  <c r="R64" i="17"/>
  <c r="G22" i="17"/>
  <c r="H21" i="17"/>
  <c r="D21" i="17" s="1"/>
  <c r="H32" i="17"/>
  <c r="H54" i="17"/>
  <c r="D16" i="17"/>
  <c r="H15" i="17"/>
  <c r="D15" i="17" s="1"/>
  <c r="Q90" i="17"/>
  <c r="Q93" i="17" s="1"/>
  <c r="P93" i="17" s="1"/>
  <c r="Q71" i="17"/>
  <c r="Z71" i="17" s="1"/>
  <c r="F23" i="17"/>
  <c r="G17" i="17"/>
  <c r="G33" i="17"/>
  <c r="F33" i="17" s="1"/>
  <c r="Q72" i="17"/>
  <c r="G36" i="17"/>
  <c r="F36" i="17" s="1"/>
  <c r="G43" i="17"/>
  <c r="H52" i="17"/>
  <c r="H28" i="17"/>
  <c r="D8" i="17"/>
  <c r="AA83" i="17"/>
  <c r="H55" i="17"/>
  <c r="D17" i="17"/>
  <c r="N98" i="17"/>
  <c r="V98" i="17" s="1"/>
  <c r="N61" i="17"/>
  <c r="V61" i="17" s="1"/>
  <c r="Q61" i="17"/>
  <c r="Q98" i="17"/>
  <c r="Q102" i="17" s="1"/>
  <c r="O102" i="17" s="1"/>
  <c r="G30" i="17"/>
  <c r="F30" i="17" s="1"/>
  <c r="G6" i="17"/>
  <c r="G9" i="17"/>
  <c r="G29" i="17" s="1"/>
  <c r="F29" i="17" s="1"/>
  <c r="E55" i="17" l="1"/>
  <c r="D55" i="17"/>
  <c r="D52" i="17"/>
  <c r="E32" i="17"/>
  <c r="D32" i="17"/>
  <c r="D56" i="17"/>
  <c r="G28" i="17"/>
  <c r="F8" i="17"/>
  <c r="G52" i="17"/>
  <c r="F52" i="17" s="1"/>
  <c r="P100" i="17"/>
  <c r="P63" i="17"/>
  <c r="E34" i="17"/>
  <c r="N94" i="17"/>
  <c r="G26" i="17"/>
  <c r="G50" i="17"/>
  <c r="F6" i="17"/>
  <c r="G5" i="17"/>
  <c r="F5" i="17" s="1"/>
  <c r="F43" i="17"/>
  <c r="G55" i="17"/>
  <c r="F55" i="17" s="1"/>
  <c r="F17" i="17"/>
  <c r="G27" i="17"/>
  <c r="G56" i="17"/>
  <c r="F56" i="17" s="1"/>
  <c r="F18" i="17"/>
  <c r="E33" i="17"/>
  <c r="D44" i="17"/>
  <c r="H58" i="17"/>
  <c r="D26" i="17"/>
  <c r="H46" i="17"/>
  <c r="E26" i="17"/>
  <c r="H25" i="17"/>
  <c r="E43" i="17"/>
  <c r="AD72" i="17"/>
  <c r="H71" i="17"/>
  <c r="D59" i="17"/>
  <c r="N74" i="17" s="1"/>
  <c r="R74" i="17" s="1"/>
  <c r="R75" i="17" s="1"/>
  <c r="P90" i="17"/>
  <c r="P71" i="17"/>
  <c r="Q64" i="17"/>
  <c r="Q101" i="17"/>
  <c r="F22" i="17"/>
  <c r="G21" i="17"/>
  <c r="G32" i="17"/>
  <c r="F32" i="17" s="1"/>
  <c r="P91" i="17"/>
  <c r="P81" i="17"/>
  <c r="N104" i="17"/>
  <c r="Q83" i="17"/>
  <c r="Z82" i="17" s="1"/>
  <c r="Z83" i="17" s="1"/>
  <c r="F41" i="17"/>
  <c r="P83" i="17" s="1"/>
  <c r="G44" i="17"/>
  <c r="F44" i="17" s="1"/>
  <c r="D42" i="17"/>
  <c r="Q103" i="17"/>
  <c r="P103" i="17" s="1"/>
  <c r="D47" i="17"/>
  <c r="P102" i="17"/>
  <c r="H48" i="17"/>
  <c r="H60" i="17"/>
  <c r="E28" i="17"/>
  <c r="D28" i="17"/>
  <c r="Z72" i="17"/>
  <c r="Z73" i="17"/>
  <c r="AC71" i="17"/>
  <c r="D54" i="17"/>
  <c r="H53" i="17"/>
  <c r="E30" i="17"/>
  <c r="O103" i="17"/>
  <c r="N103" i="17"/>
  <c r="D31" i="17"/>
  <c r="E50" i="17"/>
  <c r="D50" i="17"/>
  <c r="H49" i="17"/>
  <c r="P92" i="17"/>
  <c r="Q94" i="17"/>
  <c r="P94" i="17" s="1"/>
  <c r="G16" i="17"/>
  <c r="D29" i="17"/>
  <c r="E29" i="17"/>
  <c r="P101" i="17" l="1"/>
  <c r="P64" i="17"/>
  <c r="D46" i="17"/>
  <c r="E46" i="17"/>
  <c r="H45" i="17"/>
  <c r="G59" i="17"/>
  <c r="G47" i="17"/>
  <c r="F27" i="17"/>
  <c r="E27" i="17"/>
  <c r="G58" i="17"/>
  <c r="G46" i="17"/>
  <c r="F26" i="17"/>
  <c r="G25" i="17"/>
  <c r="F25" i="17" s="1"/>
  <c r="G60" i="17"/>
  <c r="F28" i="17"/>
  <c r="G48" i="17"/>
  <c r="F48" i="17" s="1"/>
  <c r="D49" i="17"/>
  <c r="D53" i="17"/>
  <c r="E60" i="17"/>
  <c r="E77" i="17" s="1"/>
  <c r="H72" i="17"/>
  <c r="D60" i="17"/>
  <c r="N75" i="17"/>
  <c r="O94" i="17"/>
  <c r="Q104" i="17"/>
  <c r="E44" i="17"/>
  <c r="G54" i="17"/>
  <c r="G15" i="17"/>
  <c r="F15" i="17" s="1"/>
  <c r="F16" i="17"/>
  <c r="AC72" i="17"/>
  <c r="E48" i="17"/>
  <c r="D48" i="17"/>
  <c r="D25" i="17"/>
  <c r="E58" i="17"/>
  <c r="E75" i="17" s="1"/>
  <c r="H70" i="17"/>
  <c r="D58" i="17"/>
  <c r="H57" i="17"/>
  <c r="E56" i="17"/>
  <c r="E52" i="17"/>
  <c r="F21" i="17"/>
  <c r="G31" i="17"/>
  <c r="D71" i="17"/>
  <c r="G42" i="17"/>
  <c r="G49" i="17"/>
  <c r="F49" i="17" s="1"/>
  <c r="F50" i="17"/>
  <c r="F31" i="17" l="1"/>
  <c r="E31" i="17"/>
  <c r="D57" i="17"/>
  <c r="F42" i="17"/>
  <c r="E42" i="17"/>
  <c r="E25" i="17"/>
  <c r="P104" i="17"/>
  <c r="O104" i="17"/>
  <c r="F46" i="17"/>
  <c r="G45" i="17"/>
  <c r="F45" i="17" s="1"/>
  <c r="F47" i="17"/>
  <c r="E47" i="17"/>
  <c r="R106" i="17"/>
  <c r="D70" i="17"/>
  <c r="R66" i="17"/>
  <c r="AA66" i="17" s="1"/>
  <c r="H69" i="17"/>
  <c r="E72" i="17"/>
  <c r="O84" i="17" s="1"/>
  <c r="D72" i="17"/>
  <c r="N84" i="17" s="1"/>
  <c r="G72" i="17"/>
  <c r="F60" i="17"/>
  <c r="G70" i="17"/>
  <c r="G57" i="17"/>
  <c r="F57" i="17" s="1"/>
  <c r="F58" i="17"/>
  <c r="Q74" i="17"/>
  <c r="F59" i="17"/>
  <c r="P74" i="17" s="1"/>
  <c r="G71" i="17"/>
  <c r="E59" i="17"/>
  <c r="G53" i="17"/>
  <c r="F54" i="17"/>
  <c r="E54" i="17"/>
  <c r="E49" i="17"/>
  <c r="E45" i="17"/>
  <c r="D45" i="17"/>
  <c r="F71" i="17" l="1"/>
  <c r="E71" i="17"/>
  <c r="N106" i="17"/>
  <c r="N66" i="17"/>
  <c r="Q66" i="17"/>
  <c r="Z66" i="17" s="1"/>
  <c r="Q106" i="17"/>
  <c r="F70" i="17"/>
  <c r="G69" i="17"/>
  <c r="F69" i="17" s="1"/>
  <c r="E70" i="17"/>
  <c r="E57" i="17"/>
  <c r="F53" i="17"/>
  <c r="E53" i="17"/>
  <c r="E69" i="17"/>
  <c r="E74" i="17" s="1"/>
  <c r="D69" i="17"/>
  <c r="E76" i="17"/>
  <c r="O74" i="17"/>
  <c r="O76" i="17" s="1"/>
  <c r="F72" i="17"/>
  <c r="P84" i="17" s="1"/>
  <c r="Q84" i="17"/>
  <c r="P106" i="17" l="1"/>
  <c r="P66" i="17"/>
  <c r="Q76" i="17"/>
  <c r="Q75" i="17" s="1"/>
  <c r="O75" i="17" s="1"/>
  <c r="P75" i="17" s="1"/>
  <c r="P76" i="17"/>
  <c r="O66" i="17"/>
  <c r="O106" i="17"/>
  <c r="S89" i="16" l="1"/>
  <c r="S72" i="16"/>
  <c r="S71" i="16"/>
  <c r="S70" i="16"/>
  <c r="L5" i="14" l="1"/>
  <c r="S10" i="7"/>
  <c r="H14" i="7"/>
  <c r="O182" i="14"/>
  <c r="O181" i="14"/>
  <c r="O184" i="14" s="1"/>
  <c r="O180" i="14"/>
  <c r="O179" i="14"/>
  <c r="O183" i="14" s="1"/>
  <c r="O175" i="14"/>
  <c r="O177" i="14" s="1"/>
  <c r="O174" i="14"/>
  <c r="O173" i="14"/>
  <c r="O172" i="14"/>
  <c r="O169" i="14"/>
  <c r="O168" i="14"/>
  <c r="O166" i="14"/>
  <c r="O170" i="14" s="1"/>
  <c r="O165" i="14"/>
  <c r="O164" i="14"/>
  <c r="T162" i="14"/>
  <c r="O158" i="14"/>
  <c r="O157" i="14"/>
  <c r="O156" i="14"/>
  <c r="V154" i="14"/>
  <c r="O154" i="14"/>
  <c r="V153" i="14"/>
  <c r="O153" i="14"/>
  <c r="W152" i="14"/>
  <c r="O152" i="14"/>
  <c r="W151" i="14"/>
  <c r="O151" i="14"/>
  <c r="O155" i="14" s="1"/>
  <c r="T149" i="14"/>
  <c r="O149" i="14"/>
  <c r="AC147" i="14"/>
  <c r="Z147" i="14"/>
  <c r="O146" i="14"/>
  <c r="T145" i="14"/>
  <c r="Q145" i="14"/>
  <c r="O145" i="14"/>
  <c r="V144" i="14"/>
  <c r="O144" i="14"/>
  <c r="V143" i="14"/>
  <c r="O143" i="14"/>
  <c r="V142" i="14"/>
  <c r="O142" i="14"/>
  <c r="V141" i="14"/>
  <c r="O141" i="14"/>
  <c r="W140" i="14"/>
  <c r="O140" i="14"/>
  <c r="W139" i="14"/>
  <c r="O139" i="14"/>
  <c r="T137" i="14"/>
  <c r="O137" i="14"/>
  <c r="X135" i="14"/>
  <c r="Y135" i="14" s="1"/>
  <c r="T135" i="14"/>
  <c r="U136" i="14" s="1"/>
  <c r="P135" i="14"/>
  <c r="X134" i="14"/>
  <c r="Y134" i="14" s="1"/>
  <c r="O133" i="14"/>
  <c r="O134" i="14" s="1"/>
  <c r="V132" i="14"/>
  <c r="O132" i="14"/>
  <c r="V131" i="14"/>
  <c r="O131" i="14"/>
  <c r="AI130" i="14"/>
  <c r="AD130" i="14"/>
  <c r="V130" i="14"/>
  <c r="O130" i="14"/>
  <c r="R129" i="14"/>
  <c r="O129" i="14"/>
  <c r="V128" i="14"/>
  <c r="O128" i="14"/>
  <c r="W127" i="14"/>
  <c r="O127" i="14"/>
  <c r="T125" i="14"/>
  <c r="O125" i="14"/>
  <c r="O122" i="14"/>
  <c r="V121" i="14"/>
  <c r="O121" i="14"/>
  <c r="V120" i="14"/>
  <c r="O120" i="14"/>
  <c r="V119" i="14"/>
  <c r="O119" i="14"/>
  <c r="V118" i="14"/>
  <c r="O118" i="14"/>
  <c r="V117" i="14"/>
  <c r="O117" i="14"/>
  <c r="W116" i="14"/>
  <c r="O116" i="14"/>
  <c r="O114" i="14"/>
  <c r="C113" i="14"/>
  <c r="P145" i="14" s="1"/>
  <c r="O112" i="14"/>
  <c r="V111" i="14"/>
  <c r="O111" i="14"/>
  <c r="V110" i="14"/>
  <c r="O110" i="14"/>
  <c r="V109" i="14"/>
  <c r="O109" i="14"/>
  <c r="F108" i="14"/>
  <c r="E108" i="14" s="1"/>
  <c r="C108" i="14"/>
  <c r="G108" i="14" s="1"/>
  <c r="T107" i="14"/>
  <c r="O107" i="14"/>
  <c r="C107" i="14"/>
  <c r="G107" i="14" s="1"/>
  <c r="F107" i="14" s="1"/>
  <c r="E107" i="14" s="1"/>
  <c r="G106" i="14"/>
  <c r="O105" i="14"/>
  <c r="V104" i="14"/>
  <c r="O104" i="14"/>
  <c r="V103" i="14"/>
  <c r="O103" i="14"/>
  <c r="V102" i="14"/>
  <c r="O102" i="14"/>
  <c r="H101" i="14"/>
  <c r="T100" i="14"/>
  <c r="O100" i="14"/>
  <c r="O98" i="14"/>
  <c r="V97" i="14"/>
  <c r="O97" i="14"/>
  <c r="H97" i="14"/>
  <c r="O96" i="14"/>
  <c r="W95" i="14"/>
  <c r="O95" i="14"/>
  <c r="W94" i="14"/>
  <c r="W93" i="14"/>
  <c r="W97" i="14" s="1"/>
  <c r="T93" i="14"/>
  <c r="O93" i="14"/>
  <c r="W83" i="14"/>
  <c r="X73" i="14"/>
  <c r="Y72" i="14" s="1"/>
  <c r="D69" i="14"/>
  <c r="Q66" i="14"/>
  <c r="Q65" i="14"/>
  <c r="O65" i="14" s="1"/>
  <c r="D53" i="14"/>
  <c r="D52" i="14"/>
  <c r="E48" i="14"/>
  <c r="E47" i="14"/>
  <c r="R173" i="14" s="1"/>
  <c r="S46" i="14"/>
  <c r="D46" i="14"/>
  <c r="S39" i="14"/>
  <c r="R39" i="14" s="1"/>
  <c r="S36" i="14"/>
  <c r="R36" i="14" s="1"/>
  <c r="S35" i="14"/>
  <c r="R35" i="14"/>
  <c r="D33" i="14"/>
  <c r="Q102" i="14" s="1"/>
  <c r="D32" i="14"/>
  <c r="T31" i="14"/>
  <c r="S31" i="14"/>
  <c r="U31" i="14" s="1"/>
  <c r="R31" i="14"/>
  <c r="Q31" i="14"/>
  <c r="U30" i="14"/>
  <c r="T30" i="14"/>
  <c r="U29" i="14"/>
  <c r="Q23" i="14" s="1"/>
  <c r="T29" i="14"/>
  <c r="U28" i="14"/>
  <c r="T28" i="14"/>
  <c r="S28" i="14"/>
  <c r="R28" i="14"/>
  <c r="Q28" i="14"/>
  <c r="D28" i="14"/>
  <c r="U27" i="14"/>
  <c r="T27" i="14"/>
  <c r="C27" i="14"/>
  <c r="P96" i="14" s="1"/>
  <c r="U26" i="14"/>
  <c r="T26" i="14"/>
  <c r="D24" i="14"/>
  <c r="Q141" i="14" s="1"/>
  <c r="Z20" i="14"/>
  <c r="Y20" i="14"/>
  <c r="X20" i="14"/>
  <c r="D20" i="14"/>
  <c r="C18" i="14"/>
  <c r="C24" i="14" s="1"/>
  <c r="D17" i="14"/>
  <c r="D71" i="14" s="1"/>
  <c r="Q97" i="14" s="1"/>
  <c r="C17" i="14"/>
  <c r="C71" i="14" s="1"/>
  <c r="E14" i="14"/>
  <c r="R164" i="14" s="1"/>
  <c r="D14" i="14"/>
  <c r="Q164" i="14" s="1"/>
  <c r="O13" i="14"/>
  <c r="E13" i="14"/>
  <c r="E12" i="14"/>
  <c r="D12" i="14"/>
  <c r="O11" i="14"/>
  <c r="Q85" i="14" s="1"/>
  <c r="P85" i="14" s="1"/>
  <c r="O10" i="14"/>
  <c r="E10" i="14"/>
  <c r="O9" i="14"/>
  <c r="D47" i="14" s="1"/>
  <c r="G47" i="14" s="1"/>
  <c r="D9" i="14"/>
  <c r="O8" i="14"/>
  <c r="D7" i="14"/>
  <c r="O6" i="14"/>
  <c r="S37" i="14" s="1"/>
  <c r="R37" i="14" s="1"/>
  <c r="P5" i="14"/>
  <c r="O5" i="14"/>
  <c r="D113" i="14" s="1"/>
  <c r="F113" i="14" s="1"/>
  <c r="D5" i="14"/>
  <c r="Q3" i="14"/>
  <c r="O3" i="14"/>
  <c r="T129" i="14" l="1"/>
  <c r="C47" i="14"/>
  <c r="T173" i="14"/>
  <c r="F47" i="14"/>
  <c r="P153" i="14"/>
  <c r="X153" i="14" s="1"/>
  <c r="P141" i="14"/>
  <c r="X141" i="14" s="1"/>
  <c r="G24" i="14"/>
  <c r="S145" i="14"/>
  <c r="Y148" i="14" s="1"/>
  <c r="E113" i="14"/>
  <c r="R145" i="14" s="1"/>
  <c r="R139" i="14"/>
  <c r="X139" i="14" s="1"/>
  <c r="R151" i="14"/>
  <c r="X151" i="14" s="1"/>
  <c r="G10" i="14"/>
  <c r="Q152" i="14"/>
  <c r="V152" i="14" s="1"/>
  <c r="Q140" i="14"/>
  <c r="V140" i="14" s="1"/>
  <c r="R118" i="14"/>
  <c r="G48" i="14"/>
  <c r="G46" i="14" s="1"/>
  <c r="R172" i="14"/>
  <c r="V129" i="14"/>
  <c r="C34" i="14"/>
  <c r="D55" i="14"/>
  <c r="D51" i="14"/>
  <c r="Q110" i="14" s="1"/>
  <c r="D54" i="14"/>
  <c r="Q103" i="14" s="1"/>
  <c r="D50" i="14"/>
  <c r="S38" i="14"/>
  <c r="R38" i="14" s="1"/>
  <c r="G12" i="14"/>
  <c r="G14" i="14"/>
  <c r="G18" i="14"/>
  <c r="C28" i="14"/>
  <c r="C30" i="14"/>
  <c r="D49" i="14"/>
  <c r="F106" i="14"/>
  <c r="G105" i="14"/>
  <c r="Q116" i="14"/>
  <c r="V116" i="14" s="1"/>
  <c r="R127" i="14"/>
  <c r="X127" i="14" s="1"/>
  <c r="R165" i="14"/>
  <c r="G13" i="14"/>
  <c r="G71" i="14"/>
  <c r="P97" i="14"/>
  <c r="E9" i="14"/>
  <c r="D23" i="14"/>
  <c r="Q95" i="14" s="1"/>
  <c r="D27" i="14"/>
  <c r="Q96" i="14" s="1"/>
  <c r="Q175" i="14"/>
  <c r="Q130" i="14"/>
  <c r="Q129" i="14"/>
  <c r="Q173" i="14"/>
  <c r="Q142" i="14"/>
  <c r="Q154" i="14"/>
  <c r="C31" i="14"/>
  <c r="D48" i="14"/>
  <c r="Y71" i="14"/>
  <c r="Q153" i="14"/>
  <c r="D6" i="14"/>
  <c r="D8" i="14"/>
  <c r="D11" i="14"/>
  <c r="R140" i="14"/>
  <c r="X140" i="14" s="1"/>
  <c r="R152" i="14"/>
  <c r="X152" i="14" s="1"/>
  <c r="D18" i="14"/>
  <c r="C23" i="14"/>
  <c r="D30" i="14"/>
  <c r="Q109" i="14" s="1"/>
  <c r="D31" i="14"/>
  <c r="D65" i="14"/>
  <c r="D70" i="14"/>
  <c r="Q88" i="14"/>
  <c r="R116" i="14"/>
  <c r="D10" i="14"/>
  <c r="D13" i="14"/>
  <c r="G17" i="14"/>
  <c r="D19" i="14"/>
  <c r="D29" i="14"/>
  <c r="D34" i="14"/>
  <c r="O171" i="14"/>
  <c r="O176" i="14"/>
  <c r="O178" i="14" s="1"/>
  <c r="C46" i="14" l="1"/>
  <c r="P88" i="14"/>
  <c r="P89" i="14"/>
  <c r="C105" i="14"/>
  <c r="C52" i="14"/>
  <c r="C55" i="14"/>
  <c r="C51" i="14"/>
  <c r="C54" i="14"/>
  <c r="Q174" i="14"/>
  <c r="Q119" i="14"/>
  <c r="T139" i="14"/>
  <c r="T151" i="14"/>
  <c r="G9" i="14"/>
  <c r="C9" i="14" s="1"/>
  <c r="C10" i="14"/>
  <c r="F10" i="14"/>
  <c r="G6" i="14"/>
  <c r="Q127" i="14"/>
  <c r="V127" i="14" s="1"/>
  <c r="Q165" i="14"/>
  <c r="P95" i="14"/>
  <c r="G23" i="14"/>
  <c r="G27" i="14" s="1"/>
  <c r="G28" i="14"/>
  <c r="F18" i="14"/>
  <c r="E18" i="14" s="1"/>
  <c r="P117" i="14"/>
  <c r="X117" i="14" s="1"/>
  <c r="P166" i="14"/>
  <c r="G34" i="14"/>
  <c r="S173" i="14"/>
  <c r="S129" i="14"/>
  <c r="F46" i="14"/>
  <c r="E46" i="14" s="1"/>
  <c r="Q151" i="14"/>
  <c r="V151" i="14" s="1"/>
  <c r="Q139" i="14"/>
  <c r="V139" i="14" s="1"/>
  <c r="D75" i="14"/>
  <c r="D67" i="14"/>
  <c r="D66" i="14"/>
  <c r="D78" i="14"/>
  <c r="D72" i="14"/>
  <c r="D68" i="14"/>
  <c r="D76" i="14"/>
  <c r="D73" i="14"/>
  <c r="D77" i="14"/>
  <c r="Q104" i="14" s="1"/>
  <c r="T116" i="14"/>
  <c r="F14" i="14"/>
  <c r="T164" i="14"/>
  <c r="T169" i="14" s="1"/>
  <c r="C14" i="14"/>
  <c r="G8" i="14"/>
  <c r="T141" i="14"/>
  <c r="F24" i="14"/>
  <c r="T153" i="14"/>
  <c r="G102" i="14"/>
  <c r="F17" i="14"/>
  <c r="G16" i="14"/>
  <c r="P168" i="14"/>
  <c r="P128" i="14"/>
  <c r="X128" i="14" s="1"/>
  <c r="G31" i="14"/>
  <c r="T165" i="14"/>
  <c r="T127" i="14"/>
  <c r="C13" i="14"/>
  <c r="G7" i="14"/>
  <c r="F13" i="14"/>
  <c r="P142" i="14"/>
  <c r="X142" i="14" s="1"/>
  <c r="P154" i="14"/>
  <c r="X154" i="14" s="1"/>
  <c r="T172" i="14"/>
  <c r="T176" i="14" s="1"/>
  <c r="T118" i="14"/>
  <c r="C48" i="14"/>
  <c r="F48" i="14"/>
  <c r="Q166" i="14"/>
  <c r="Q117" i="14"/>
  <c r="E106" i="14"/>
  <c r="F105" i="14"/>
  <c r="E105" i="14" s="1"/>
  <c r="Q168" i="14"/>
  <c r="Q128" i="14"/>
  <c r="Q172" i="14"/>
  <c r="Q118" i="14"/>
  <c r="W118" i="14" s="1"/>
  <c r="F71" i="14"/>
  <c r="T97" i="14"/>
  <c r="P109" i="14"/>
  <c r="X109" i="14" s="1"/>
  <c r="C33" i="14"/>
  <c r="G30" i="14"/>
  <c r="T152" i="14"/>
  <c r="T140" i="14"/>
  <c r="F12" i="14"/>
  <c r="C12" i="14"/>
  <c r="G11" i="14"/>
  <c r="C11" i="14" s="1"/>
  <c r="P129" i="14"/>
  <c r="X129" i="14" s="1"/>
  <c r="P173" i="14"/>
  <c r="T17" i="7"/>
  <c r="T19" i="7" s="1"/>
  <c r="S17" i="7"/>
  <c r="AB11" i="7"/>
  <c r="AB15" i="7"/>
  <c r="AB23" i="7"/>
  <c r="AB9" i="7"/>
  <c r="V17" i="7"/>
  <c r="C37" i="9"/>
  <c r="E37" i="9"/>
  <c r="F37" i="9"/>
  <c r="S33" i="7" s="1"/>
  <c r="S51" i="7"/>
  <c r="S39" i="7"/>
  <c r="R39" i="7"/>
  <c r="Q39" i="7"/>
  <c r="Q52" i="7"/>
  <c r="S40" i="7"/>
  <c r="R40" i="7"/>
  <c r="Q40" i="7"/>
  <c r="AD13" i="7"/>
  <c r="S49" i="7"/>
  <c r="S38" i="7"/>
  <c r="R38" i="7"/>
  <c r="Q38" i="7"/>
  <c r="S37" i="7"/>
  <c r="R37" i="7"/>
  <c r="Q37" i="7"/>
  <c r="X20" i="7"/>
  <c r="S41" i="7"/>
  <c r="T41" i="7" s="1"/>
  <c r="S36" i="7"/>
  <c r="R36" i="7"/>
  <c r="Q36" i="7"/>
  <c r="S35" i="7"/>
  <c r="R35" i="7"/>
  <c r="Q35" i="7"/>
  <c r="S34" i="7"/>
  <c r="R34" i="7"/>
  <c r="Q34" i="7"/>
  <c r="R33" i="7"/>
  <c r="Q32" i="7"/>
  <c r="S32" i="7"/>
  <c r="R32" i="7"/>
  <c r="S53" i="7"/>
  <c r="T53" i="7" s="1"/>
  <c r="Q48" i="7"/>
  <c r="S46" i="7"/>
  <c r="R44" i="7"/>
  <c r="S44" i="7"/>
  <c r="D13" i="9"/>
  <c r="D14" i="9"/>
  <c r="D37" i="9" s="1"/>
  <c r="D15" i="9"/>
  <c r="S48" i="7" s="1"/>
  <c r="D16" i="9"/>
  <c r="D17" i="9"/>
  <c r="D18" i="9"/>
  <c r="D19" i="9"/>
  <c r="R46" i="7" s="1"/>
  <c r="D20" i="9"/>
  <c r="Q44" i="7" s="1"/>
  <c r="D21" i="9"/>
  <c r="D22" i="9"/>
  <c r="S47" i="7" s="1"/>
  <c r="D23" i="9"/>
  <c r="D24" i="9"/>
  <c r="D25" i="9"/>
  <c r="D26" i="9"/>
  <c r="D27" i="9"/>
  <c r="R49" i="7" s="1"/>
  <c r="D28" i="9"/>
  <c r="D29" i="9"/>
  <c r="D30" i="9"/>
  <c r="D31" i="9"/>
  <c r="D32" i="9"/>
  <c r="D33" i="9"/>
  <c r="D34" i="9"/>
  <c r="D35" i="9"/>
  <c r="R51" i="7" s="1"/>
  <c r="D36" i="9"/>
  <c r="S52" i="7" s="1"/>
  <c r="D12" i="9"/>
  <c r="G12" i="9" s="1"/>
  <c r="G37" i="9" s="1"/>
  <c r="F39" i="9"/>
  <c r="C39" i="9"/>
  <c r="D39" i="9" s="1"/>
  <c r="F38" i="9"/>
  <c r="C38" i="9"/>
  <c r="D38" i="9" s="1"/>
  <c r="J69" i="9"/>
  <c r="J68" i="9"/>
  <c r="B37" i="9"/>
  <c r="L37" i="9" s="1"/>
  <c r="L36" i="9"/>
  <c r="H36" i="9"/>
  <c r="J37" i="9" s="1"/>
  <c r="G36" i="9"/>
  <c r="L35" i="9"/>
  <c r="H35" i="9"/>
  <c r="J36" i="9" s="1"/>
  <c r="G35" i="9"/>
  <c r="L34" i="9"/>
  <c r="H34" i="9"/>
  <c r="J35" i="9" s="1"/>
  <c r="G34" i="9"/>
  <c r="L33" i="9"/>
  <c r="H33" i="9"/>
  <c r="J34" i="9" s="1"/>
  <c r="G33" i="9"/>
  <c r="L32" i="9"/>
  <c r="H32" i="9"/>
  <c r="J33" i="9" s="1"/>
  <c r="G32" i="9"/>
  <c r="L31" i="9"/>
  <c r="H31" i="9"/>
  <c r="J32" i="9" s="1"/>
  <c r="G31" i="9"/>
  <c r="L30" i="9"/>
  <c r="H30" i="9"/>
  <c r="J31" i="9" s="1"/>
  <c r="G30" i="9"/>
  <c r="L29" i="9"/>
  <c r="H29" i="9"/>
  <c r="J30" i="9" s="1"/>
  <c r="G29" i="9"/>
  <c r="L28" i="9"/>
  <c r="H28" i="9"/>
  <c r="J29" i="9" s="1"/>
  <c r="G28" i="9"/>
  <c r="L27" i="9"/>
  <c r="H27" i="9"/>
  <c r="J28" i="9" s="1"/>
  <c r="G27" i="9"/>
  <c r="L26" i="9"/>
  <c r="H26" i="9"/>
  <c r="J27" i="9" s="1"/>
  <c r="G26" i="9"/>
  <c r="L25" i="9"/>
  <c r="H25" i="9"/>
  <c r="J26" i="9" s="1"/>
  <c r="G25" i="9"/>
  <c r="L24" i="9"/>
  <c r="H24" i="9"/>
  <c r="J25" i="9" s="1"/>
  <c r="G24" i="9"/>
  <c r="L23" i="9"/>
  <c r="H23" i="9"/>
  <c r="J24" i="9" s="1"/>
  <c r="G23" i="9"/>
  <c r="L22" i="9"/>
  <c r="H22" i="9"/>
  <c r="J23" i="9" s="1"/>
  <c r="G22" i="9"/>
  <c r="L21" i="9"/>
  <c r="H21" i="9"/>
  <c r="J22" i="9" s="1"/>
  <c r="G21" i="9"/>
  <c r="L20" i="9"/>
  <c r="H20" i="9"/>
  <c r="J21" i="9" s="1"/>
  <c r="G20" i="9"/>
  <c r="L19" i="9"/>
  <c r="H19" i="9"/>
  <c r="J19" i="9" s="1"/>
  <c r="G19" i="9"/>
  <c r="L18" i="9"/>
  <c r="H18" i="9"/>
  <c r="J18" i="9" s="1"/>
  <c r="G18" i="9"/>
  <c r="L17" i="9"/>
  <c r="H17" i="9"/>
  <c r="J17" i="9" s="1"/>
  <c r="G17" i="9"/>
  <c r="L16" i="9"/>
  <c r="H16" i="9"/>
  <c r="J16" i="9" s="1"/>
  <c r="G16" i="9"/>
  <c r="L15" i="9"/>
  <c r="H15" i="9"/>
  <c r="J15" i="9" s="1"/>
  <c r="G15" i="9"/>
  <c r="L14" i="9"/>
  <c r="H14" i="9"/>
  <c r="J14" i="9" s="1"/>
  <c r="G14" i="9"/>
  <c r="L13" i="9"/>
  <c r="H13" i="9"/>
  <c r="J13" i="9" s="1"/>
  <c r="G13" i="9"/>
  <c r="L12" i="9"/>
  <c r="H12" i="9"/>
  <c r="H37" i="9" s="1"/>
  <c r="T96" i="14" l="1"/>
  <c r="G26" i="14"/>
  <c r="F27" i="14"/>
  <c r="S140" i="14"/>
  <c r="S152" i="14"/>
  <c r="F11" i="14"/>
  <c r="E11" i="14" s="1"/>
  <c r="S97" i="14"/>
  <c r="E71" i="14"/>
  <c r="R97" i="14" s="1"/>
  <c r="S165" i="14"/>
  <c r="F7" i="14"/>
  <c r="S127" i="14"/>
  <c r="F102" i="14"/>
  <c r="F16" i="14"/>
  <c r="E17" i="14"/>
  <c r="P169" i="14"/>
  <c r="Q158" i="14"/>
  <c r="Q144" i="14"/>
  <c r="Q132" i="14"/>
  <c r="Q182" i="14"/>
  <c r="T117" i="14"/>
  <c r="T166" i="14"/>
  <c r="F34" i="14"/>
  <c r="P174" i="14"/>
  <c r="G55" i="14"/>
  <c r="P119" i="14"/>
  <c r="X119" i="14" s="1"/>
  <c r="T98" i="14"/>
  <c r="C102" i="14"/>
  <c r="P98" i="14" s="1"/>
  <c r="S172" i="14"/>
  <c r="S176" i="14" s="1"/>
  <c r="S118" i="14"/>
  <c r="H1" i="14"/>
  <c r="C7" i="14"/>
  <c r="T168" i="14"/>
  <c r="T128" i="14"/>
  <c r="AC127" i="14" s="1"/>
  <c r="F31" i="14"/>
  <c r="T156" i="14"/>
  <c r="C8" i="14"/>
  <c r="S116" i="14"/>
  <c r="S164" i="14"/>
  <c r="F8" i="14"/>
  <c r="Q157" i="14"/>
  <c r="D74" i="14"/>
  <c r="Q111" i="14" s="1"/>
  <c r="Q143" i="14"/>
  <c r="S139" i="14"/>
  <c r="S151" i="14"/>
  <c r="S155" i="14" s="1"/>
  <c r="R155" i="14" s="1"/>
  <c r="F9" i="14"/>
  <c r="F6" i="14"/>
  <c r="T155" i="14"/>
  <c r="P103" i="14"/>
  <c r="X103" i="14" s="1"/>
  <c r="G54" i="14"/>
  <c r="D105" i="14"/>
  <c r="P102" i="14"/>
  <c r="X102" i="14" s="1"/>
  <c r="G33" i="14"/>
  <c r="T142" i="14"/>
  <c r="AC139" i="14" s="1"/>
  <c r="T154" i="14"/>
  <c r="F28" i="14"/>
  <c r="C75" i="14"/>
  <c r="C67" i="14"/>
  <c r="C66" i="14"/>
  <c r="C77" i="14"/>
  <c r="C74" i="14"/>
  <c r="C78" i="14"/>
  <c r="C72" i="14"/>
  <c r="C68" i="14"/>
  <c r="P176" i="14"/>
  <c r="Q181" i="14"/>
  <c r="Q121" i="14"/>
  <c r="G22" i="14"/>
  <c r="F23" i="14"/>
  <c r="T95" i="14"/>
  <c r="G36" i="14"/>
  <c r="G5" i="14"/>
  <c r="C6" i="14"/>
  <c r="P130" i="14"/>
  <c r="X130" i="14" s="1"/>
  <c r="P175" i="14"/>
  <c r="G52" i="14"/>
  <c r="P152" i="14"/>
  <c r="P140" i="14"/>
  <c r="T109" i="14"/>
  <c r="G29" i="14"/>
  <c r="F30" i="14"/>
  <c r="P172" i="14"/>
  <c r="P118" i="14"/>
  <c r="X118" i="14" s="1"/>
  <c r="P165" i="14"/>
  <c r="P127" i="14"/>
  <c r="C16" i="14"/>
  <c r="S153" i="14"/>
  <c r="E24" i="14"/>
  <c r="S141" i="14"/>
  <c r="P164" i="14"/>
  <c r="P116" i="14"/>
  <c r="X116" i="14" s="1"/>
  <c r="AC116" i="14"/>
  <c r="Q179" i="14"/>
  <c r="Q120" i="14"/>
  <c r="Q131" i="14"/>
  <c r="Q180" i="14"/>
  <c r="P139" i="14"/>
  <c r="P151" i="14"/>
  <c r="P110" i="14"/>
  <c r="X110" i="14" s="1"/>
  <c r="G51" i="14"/>
  <c r="Q45" i="7"/>
  <c r="R45" i="7"/>
  <c r="Q47" i="7"/>
  <c r="R48" i="7"/>
  <c r="T48" i="7" s="1"/>
  <c r="Q50" i="7"/>
  <c r="R52" i="7"/>
  <c r="T52" i="7" s="1"/>
  <c r="J12" i="9"/>
  <c r="J20" i="9"/>
  <c r="Q46" i="7"/>
  <c r="T46" i="7" s="1"/>
  <c r="R47" i="7"/>
  <c r="Q49" i="7"/>
  <c r="T49" i="7" s="1"/>
  <c r="R50" i="7"/>
  <c r="Q51" i="7"/>
  <c r="S50" i="7"/>
  <c r="G39" i="9"/>
  <c r="Q33" i="7"/>
  <c r="S45" i="7"/>
  <c r="T39" i="7"/>
  <c r="Q59" i="7"/>
  <c r="R59" i="7"/>
  <c r="T51" i="7"/>
  <c r="S59" i="7"/>
  <c r="T40" i="7"/>
  <c r="T38" i="7"/>
  <c r="T37" i="7"/>
  <c r="T44" i="7"/>
  <c r="G38" i="9"/>
  <c r="T34" i="7"/>
  <c r="T32" i="7"/>
  <c r="T35" i="7"/>
  <c r="T36" i="7"/>
  <c r="H38" i="9"/>
  <c r="J38" i="9"/>
  <c r="R141" i="14" l="1"/>
  <c r="R153" i="14"/>
  <c r="P121" i="14"/>
  <c r="X121" i="14" s="1"/>
  <c r="G78" i="14"/>
  <c r="P181" i="14"/>
  <c r="R176" i="14"/>
  <c r="E16" i="14"/>
  <c r="P111" i="14"/>
  <c r="X111" i="14" s="1"/>
  <c r="G74" i="14"/>
  <c r="T170" i="14"/>
  <c r="E102" i="14"/>
  <c r="R98" i="14" s="1"/>
  <c r="S98" i="14"/>
  <c r="S156" i="14"/>
  <c r="R156" i="14" s="1"/>
  <c r="E30" i="14"/>
  <c r="R109" i="14" s="1"/>
  <c r="S109" i="14"/>
  <c r="F29" i="14"/>
  <c r="K10" i="14"/>
  <c r="C5" i="14"/>
  <c r="S95" i="14"/>
  <c r="F22" i="14"/>
  <c r="E23" i="14"/>
  <c r="R95" i="14" s="1"/>
  <c r="P120" i="14"/>
  <c r="X120" i="14" s="1"/>
  <c r="P179" i="14"/>
  <c r="G68" i="14"/>
  <c r="P104" i="14"/>
  <c r="X104" i="14" s="1"/>
  <c r="G77" i="14"/>
  <c r="S154" i="14"/>
  <c r="S142" i="14"/>
  <c r="AB139" i="14" s="1"/>
  <c r="E28" i="14"/>
  <c r="T103" i="14"/>
  <c r="F54" i="14"/>
  <c r="G53" i="14"/>
  <c r="E6" i="14"/>
  <c r="F36" i="14"/>
  <c r="F5" i="14"/>
  <c r="E5" i="14" s="1"/>
  <c r="S169" i="14"/>
  <c r="S128" i="14"/>
  <c r="AB127" i="14" s="1"/>
  <c r="S168" i="14"/>
  <c r="E31" i="14"/>
  <c r="D102" i="14"/>
  <c r="Q98" i="14" s="1"/>
  <c r="T174" i="14"/>
  <c r="T177" i="14" s="1"/>
  <c r="T119" i="14"/>
  <c r="AC117" i="14" s="1"/>
  <c r="F55" i="14"/>
  <c r="C26" i="14"/>
  <c r="G42" i="14"/>
  <c r="P180" i="14"/>
  <c r="P131" i="14"/>
  <c r="X131" i="14" s="1"/>
  <c r="G67" i="14"/>
  <c r="P155" i="14"/>
  <c r="Q155" i="14"/>
  <c r="AB116" i="14"/>
  <c r="S166" i="14"/>
  <c r="S117" i="14"/>
  <c r="E34" i="14"/>
  <c r="E7" i="14"/>
  <c r="D16" i="14"/>
  <c r="T175" i="14"/>
  <c r="T130" i="14"/>
  <c r="AC128" i="14" s="1"/>
  <c r="F52" i="14"/>
  <c r="K11" i="14"/>
  <c r="P182" i="14"/>
  <c r="G75" i="14"/>
  <c r="P132" i="14"/>
  <c r="X132" i="14" s="1"/>
  <c r="E8" i="14"/>
  <c r="P156" i="14"/>
  <c r="S96" i="14"/>
  <c r="E27" i="14"/>
  <c r="R96" i="14" s="1"/>
  <c r="F26" i="14"/>
  <c r="D26" i="14" s="1"/>
  <c r="T110" i="14"/>
  <c r="G50" i="14"/>
  <c r="F51" i="14"/>
  <c r="C29" i="14"/>
  <c r="G19" i="14"/>
  <c r="G43" i="14"/>
  <c r="G60" i="14"/>
  <c r="D36" i="14"/>
  <c r="C36" i="14"/>
  <c r="G21" i="14"/>
  <c r="C22" i="14"/>
  <c r="G40" i="14"/>
  <c r="Q176" i="14"/>
  <c r="P158" i="14"/>
  <c r="P144" i="14"/>
  <c r="X144" i="14" s="1"/>
  <c r="G72" i="14"/>
  <c r="P143" i="14"/>
  <c r="X143" i="14" s="1"/>
  <c r="P157" i="14"/>
  <c r="G66" i="14"/>
  <c r="G104" i="14"/>
  <c r="T102" i="14"/>
  <c r="F33" i="14"/>
  <c r="G32" i="14"/>
  <c r="G25" i="14" s="1"/>
  <c r="G95" i="14"/>
  <c r="T47" i="7"/>
  <c r="T45" i="7"/>
  <c r="T50" i="7"/>
  <c r="T59" i="7"/>
  <c r="I28" i="8"/>
  <c r="B23" i="8"/>
  <c r="B22" i="8"/>
  <c r="N21" i="8"/>
  <c r="K21" i="8"/>
  <c r="K22" i="8" s="1"/>
  <c r="K23" i="8" s="1"/>
  <c r="I21" i="8"/>
  <c r="I22" i="8" s="1"/>
  <c r="I23" i="8" s="1"/>
  <c r="D21" i="8"/>
  <c r="D22" i="8" s="1"/>
  <c r="D23" i="8" s="1"/>
  <c r="I20" i="8"/>
  <c r="E20" i="8"/>
  <c r="D20" i="8"/>
  <c r="I26" i="8" s="1"/>
  <c r="K6" i="7"/>
  <c r="Q5" i="7"/>
  <c r="T18" i="7"/>
  <c r="R5" i="7"/>
  <c r="T12" i="7" s="1"/>
  <c r="AE5" i="7"/>
  <c r="W5" i="7"/>
  <c r="X5" i="7"/>
  <c r="T5" i="7"/>
  <c r="T9" i="7" s="1"/>
  <c r="U5" i="7"/>
  <c r="U13" i="7" s="1"/>
  <c r="V5" i="7"/>
  <c r="V9" i="7" s="1"/>
  <c r="S5" i="7"/>
  <c r="O5" i="7"/>
  <c r="P5" i="7"/>
  <c r="W12" i="7" s="1"/>
  <c r="L5" i="7"/>
  <c r="M5" i="7"/>
  <c r="N5" i="7"/>
  <c r="K5" i="7"/>
  <c r="J5" i="7"/>
  <c r="I5" i="7"/>
  <c r="H5" i="7"/>
  <c r="E5" i="7"/>
  <c r="E7" i="7" s="1"/>
  <c r="F5" i="7"/>
  <c r="C5" i="7"/>
  <c r="C25" i="14" l="1"/>
  <c r="E33" i="14"/>
  <c r="R102" i="14" s="1"/>
  <c r="F32" i="14"/>
  <c r="S102" i="14"/>
  <c r="C21" i="14"/>
  <c r="T182" i="14"/>
  <c r="T132" i="14"/>
  <c r="F75" i="14"/>
  <c r="E22" i="14"/>
  <c r="F21" i="14"/>
  <c r="E21" i="14" s="1"/>
  <c r="F40" i="14"/>
  <c r="P170" i="14"/>
  <c r="T171" i="14"/>
  <c r="T181" i="14"/>
  <c r="T184" i="14" s="1"/>
  <c r="T121" i="14"/>
  <c r="F78" i="14"/>
  <c r="C60" i="14"/>
  <c r="Q156" i="14"/>
  <c r="R166" i="14"/>
  <c r="R117" i="14"/>
  <c r="C42" i="14"/>
  <c r="S103" i="14"/>
  <c r="E54" i="14"/>
  <c r="R103" i="14" s="1"/>
  <c r="F53" i="14"/>
  <c r="T111" i="14"/>
  <c r="G73" i="14"/>
  <c r="C73" i="14" s="1"/>
  <c r="F74" i="14"/>
  <c r="L30" i="14"/>
  <c r="G103" i="14"/>
  <c r="L33" i="14"/>
  <c r="C104" i="14"/>
  <c r="P105" i="14" s="1"/>
  <c r="T105" i="14"/>
  <c r="T158" i="14"/>
  <c r="T144" i="14"/>
  <c r="F72" i="14"/>
  <c r="G94" i="14"/>
  <c r="G70" i="14"/>
  <c r="L17" i="14"/>
  <c r="G39" i="14"/>
  <c r="C40" i="14"/>
  <c r="C43" i="14"/>
  <c r="G49" i="14"/>
  <c r="C49" i="14" s="1"/>
  <c r="C50" i="14"/>
  <c r="G57" i="14"/>
  <c r="S174" i="14"/>
  <c r="S177" i="14" s="1"/>
  <c r="Q177" i="14" s="1"/>
  <c r="S119" i="14"/>
  <c r="AB117" i="14" s="1"/>
  <c r="E55" i="14"/>
  <c r="R128" i="14"/>
  <c r="R168" i="14"/>
  <c r="R169" i="14"/>
  <c r="Q169" i="14"/>
  <c r="F77" i="14"/>
  <c r="G76" i="14"/>
  <c r="C76" i="14" s="1"/>
  <c r="T104" i="14"/>
  <c r="C95" i="14"/>
  <c r="F25" i="14"/>
  <c r="E25" i="14" s="1"/>
  <c r="E26" i="14"/>
  <c r="F42" i="14"/>
  <c r="S130" i="14"/>
  <c r="AB128" i="14" s="1"/>
  <c r="S175" i="14"/>
  <c r="E52" i="14"/>
  <c r="P177" i="14"/>
  <c r="T178" i="14"/>
  <c r="C53" i="14"/>
  <c r="G58" i="14"/>
  <c r="T179" i="14"/>
  <c r="T120" i="14"/>
  <c r="AC118" i="14" s="1"/>
  <c r="I68" i="14"/>
  <c r="J68" i="14" s="1"/>
  <c r="F68" i="14"/>
  <c r="G92" i="14"/>
  <c r="G100" i="14"/>
  <c r="D22" i="14"/>
  <c r="E51" i="14"/>
  <c r="R110" i="14" s="1"/>
  <c r="S110" i="14"/>
  <c r="F50" i="14"/>
  <c r="G96" i="14"/>
  <c r="F60" i="14"/>
  <c r="E36" i="14"/>
  <c r="E29" i="14"/>
  <c r="F19" i="14"/>
  <c r="F43" i="14"/>
  <c r="E43" i="14" s="1"/>
  <c r="C32" i="14"/>
  <c r="G20" i="14"/>
  <c r="G44" i="14"/>
  <c r="G41" i="14" s="1"/>
  <c r="T143" i="14"/>
  <c r="AC140" i="14" s="1"/>
  <c r="T157" i="14"/>
  <c r="G80" i="14"/>
  <c r="I66" i="14"/>
  <c r="F66" i="14"/>
  <c r="G65" i="14"/>
  <c r="C65" i="14" s="1"/>
  <c r="G98" i="14"/>
  <c r="G90" i="14"/>
  <c r="J19" i="14"/>
  <c r="C19" i="14"/>
  <c r="G15" i="14"/>
  <c r="G37" i="14"/>
  <c r="G99" i="14"/>
  <c r="S170" i="14"/>
  <c r="R170" i="14" s="1"/>
  <c r="T180" i="14"/>
  <c r="I67" i="14"/>
  <c r="J67" i="14" s="1"/>
  <c r="T131" i="14"/>
  <c r="F67" i="14"/>
  <c r="G81" i="14"/>
  <c r="G91" i="14"/>
  <c r="F95" i="14"/>
  <c r="E95" i="14" s="1"/>
  <c r="R154" i="14"/>
  <c r="R142" i="14"/>
  <c r="K12" i="14"/>
  <c r="W11" i="7"/>
  <c r="W9" i="7"/>
  <c r="W13" i="7" s="1"/>
  <c r="W15" i="7" s="1"/>
  <c r="V12" i="7"/>
  <c r="V16" i="7" s="1"/>
  <c r="R43" i="7"/>
  <c r="T33" i="7"/>
  <c r="Q43" i="7"/>
  <c r="S43" i="7"/>
  <c r="C6" i="7"/>
  <c r="S16" i="7" s="1"/>
  <c r="Q31" i="7"/>
  <c r="R31" i="7"/>
  <c r="S31" i="7"/>
  <c r="B21" i="8"/>
  <c r="C22" i="8" s="1"/>
  <c r="C23" i="8" s="1"/>
  <c r="X19" i="7"/>
  <c r="W24" i="7"/>
  <c r="T24" i="7"/>
  <c r="T21" i="7"/>
  <c r="AB24" i="7" s="1"/>
  <c r="V11" i="7"/>
  <c r="C41" i="14" l="1"/>
  <c r="D91" i="14"/>
  <c r="C91" i="14"/>
  <c r="C99" i="14"/>
  <c r="P133" i="14" s="1"/>
  <c r="T133" i="14"/>
  <c r="T134" i="14" s="1"/>
  <c r="G111" i="14"/>
  <c r="M99" i="14"/>
  <c r="S157" i="14"/>
  <c r="S143" i="14"/>
  <c r="AB140" i="14" s="1"/>
  <c r="E66" i="14"/>
  <c r="F65" i="14"/>
  <c r="E65" i="14" s="1"/>
  <c r="F98" i="14"/>
  <c r="D98" i="14" s="1"/>
  <c r="F90" i="14"/>
  <c r="AC141" i="14"/>
  <c r="AC119" i="14"/>
  <c r="AC123" i="14" s="1"/>
  <c r="C39" i="14"/>
  <c r="C103" i="14"/>
  <c r="P112" i="14" s="1"/>
  <c r="T112" i="14"/>
  <c r="G101" i="14"/>
  <c r="P184" i="14"/>
  <c r="C81" i="14"/>
  <c r="G61" i="14"/>
  <c r="C37" i="14"/>
  <c r="I65" i="14"/>
  <c r="J66" i="14"/>
  <c r="T183" i="14"/>
  <c r="E42" i="14"/>
  <c r="S104" i="14"/>
  <c r="E77" i="14"/>
  <c r="R104" i="14" s="1"/>
  <c r="F76" i="14"/>
  <c r="E76" i="14" s="1"/>
  <c r="S144" i="14"/>
  <c r="E72" i="14"/>
  <c r="S158" i="14"/>
  <c r="F70" i="14"/>
  <c r="F94" i="14"/>
  <c r="E53" i="14"/>
  <c r="F58" i="14"/>
  <c r="E58" i="14" s="1"/>
  <c r="P171" i="14"/>
  <c r="F104" i="14"/>
  <c r="C15" i="14"/>
  <c r="T146" i="14"/>
  <c r="C98" i="14"/>
  <c r="P146" i="14" s="1"/>
  <c r="G97" i="14"/>
  <c r="G110" i="14"/>
  <c r="M98" i="14"/>
  <c r="C80" i="14"/>
  <c r="C20" i="14"/>
  <c r="G38" i="14"/>
  <c r="C96" i="14"/>
  <c r="G82" i="14"/>
  <c r="D58" i="14"/>
  <c r="C58" i="14"/>
  <c r="R175" i="14"/>
  <c r="R130" i="14"/>
  <c r="G56" i="14"/>
  <c r="C57" i="14"/>
  <c r="D43" i="14"/>
  <c r="S111" i="14"/>
  <c r="E74" i="14"/>
  <c r="R111" i="14" s="1"/>
  <c r="F73" i="14"/>
  <c r="E73" i="14" s="1"/>
  <c r="F103" i="14"/>
  <c r="D103" i="14" s="1"/>
  <c r="Q112" i="14" s="1"/>
  <c r="G84" i="14"/>
  <c r="E78" i="14"/>
  <c r="S181" i="14"/>
  <c r="S121" i="14"/>
  <c r="F96" i="14"/>
  <c r="E96" i="14" s="1"/>
  <c r="Q170" i="14"/>
  <c r="D21" i="14"/>
  <c r="F20" i="14"/>
  <c r="F15" i="14" s="1"/>
  <c r="E32" i="14"/>
  <c r="F44" i="14"/>
  <c r="E44" i="14" s="1"/>
  <c r="C92" i="14"/>
  <c r="D92" i="14"/>
  <c r="P178" i="14"/>
  <c r="D94" i="14"/>
  <c r="C94" i="14"/>
  <c r="G93" i="14"/>
  <c r="F39" i="14"/>
  <c r="E39" i="14" s="1"/>
  <c r="E40" i="14"/>
  <c r="G89" i="14"/>
  <c r="D90" i="14"/>
  <c r="C90" i="14"/>
  <c r="D44" i="14"/>
  <c r="C44" i="14"/>
  <c r="E19" i="14"/>
  <c r="F37" i="14"/>
  <c r="D37" i="14" s="1"/>
  <c r="E60" i="14"/>
  <c r="S179" i="14"/>
  <c r="S120" i="14"/>
  <c r="AB118" i="14" s="1"/>
  <c r="E68" i="14"/>
  <c r="F82" i="14"/>
  <c r="E82" i="14" s="1"/>
  <c r="F92" i="14"/>
  <c r="E92" i="14" s="1"/>
  <c r="F100" i="14"/>
  <c r="D95" i="14"/>
  <c r="R177" i="14"/>
  <c r="S178" i="14"/>
  <c r="R178" i="14" s="1"/>
  <c r="D40" i="14"/>
  <c r="D42" i="14"/>
  <c r="S180" i="14"/>
  <c r="F81" i="14"/>
  <c r="E81" i="14" s="1"/>
  <c r="S131" i="14"/>
  <c r="E67" i="14"/>
  <c r="F91" i="14"/>
  <c r="E91" i="14" s="1"/>
  <c r="AC129" i="14"/>
  <c r="F99" i="14"/>
  <c r="E50" i="14"/>
  <c r="F49" i="14"/>
  <c r="E49" i="14" s="1"/>
  <c r="F57" i="14"/>
  <c r="G112" i="14"/>
  <c r="M100" i="14"/>
  <c r="T122" i="14"/>
  <c r="C100" i="14"/>
  <c r="P122" i="14" s="1"/>
  <c r="S171" i="14"/>
  <c r="R171" i="14" s="1"/>
  <c r="R174" i="14"/>
  <c r="R119" i="14"/>
  <c r="C70" i="14"/>
  <c r="G69" i="14"/>
  <c r="C69" i="14" s="1"/>
  <c r="D60" i="14"/>
  <c r="S182" i="14"/>
  <c r="S132" i="14"/>
  <c r="E75" i="14"/>
  <c r="D25" i="14"/>
  <c r="AA8" i="7"/>
  <c r="AA12" i="7"/>
  <c r="Z9" i="7"/>
  <c r="W21" i="7"/>
  <c r="AE24" i="7" s="1"/>
  <c r="W10" i="7"/>
  <c r="W22" i="7" s="1"/>
  <c r="S13" i="7"/>
  <c r="U11" i="7"/>
  <c r="S12" i="7"/>
  <c r="T31" i="7"/>
  <c r="T43" i="7"/>
  <c r="T26" i="7"/>
  <c r="W26" i="7"/>
  <c r="W23" i="7"/>
  <c r="W25" i="7" s="1"/>
  <c r="T23" i="7"/>
  <c r="T25" i="7" s="1"/>
  <c r="T10" i="7"/>
  <c r="U21" i="7"/>
  <c r="AC24" i="7" s="1"/>
  <c r="D115" i="14" l="1"/>
  <c r="Q146" i="14"/>
  <c r="E15" i="14"/>
  <c r="D15" i="14"/>
  <c r="R132" i="14"/>
  <c r="R182" i="14"/>
  <c r="R179" i="14"/>
  <c r="R120" i="14"/>
  <c r="P183" i="14"/>
  <c r="AB141" i="14"/>
  <c r="S133" i="14"/>
  <c r="E99" i="14"/>
  <c r="R133" i="14" s="1"/>
  <c r="F111" i="14"/>
  <c r="E111" i="14" s="1"/>
  <c r="AB123" i="14"/>
  <c r="AB119" i="14"/>
  <c r="C89" i="14"/>
  <c r="D89" i="14"/>
  <c r="D82" i="14"/>
  <c r="C82" i="14"/>
  <c r="C61" i="14"/>
  <c r="G85" i="14"/>
  <c r="AC143" i="14"/>
  <c r="AF139" i="14"/>
  <c r="AF140" i="14" s="1"/>
  <c r="P134" i="14"/>
  <c r="T136" i="14"/>
  <c r="U134" i="14"/>
  <c r="E57" i="14"/>
  <c r="F56" i="14"/>
  <c r="E56" i="14" s="1"/>
  <c r="AC130" i="14"/>
  <c r="AF129" i="14" s="1"/>
  <c r="S183" i="14"/>
  <c r="R183" i="14" s="1"/>
  <c r="S184" i="14"/>
  <c r="D57" i="14"/>
  <c r="F93" i="14"/>
  <c r="E93" i="14" s="1"/>
  <c r="E94" i="14"/>
  <c r="F41" i="14"/>
  <c r="J65" i="14"/>
  <c r="I70" i="14"/>
  <c r="AC144" i="14"/>
  <c r="R157" i="14"/>
  <c r="R143" i="14"/>
  <c r="D99" i="14"/>
  <c r="R131" i="14"/>
  <c r="R180" i="14"/>
  <c r="C93" i="14"/>
  <c r="C84" i="14"/>
  <c r="C56" i="14"/>
  <c r="D56" i="14"/>
  <c r="G62" i="14"/>
  <c r="C38" i="14"/>
  <c r="C97" i="14"/>
  <c r="S146" i="14"/>
  <c r="F110" i="14"/>
  <c r="E98" i="14"/>
  <c r="R146" i="14" s="1"/>
  <c r="F97" i="14"/>
  <c r="E97" i="14" s="1"/>
  <c r="C111" i="14"/>
  <c r="C112" i="14"/>
  <c r="AB129" i="14"/>
  <c r="E100" i="14"/>
  <c r="R122" i="14" s="1"/>
  <c r="S122" i="14"/>
  <c r="F112" i="14"/>
  <c r="E112" i="14" s="1"/>
  <c r="E20" i="14"/>
  <c r="F38" i="14"/>
  <c r="S112" i="14"/>
  <c r="E103" i="14"/>
  <c r="R112" i="14" s="1"/>
  <c r="F101" i="14"/>
  <c r="E101" i="14" s="1"/>
  <c r="S105" i="14"/>
  <c r="E104" i="14"/>
  <c r="R105" i="14" s="1"/>
  <c r="D104" i="14"/>
  <c r="Q105" i="14" s="1"/>
  <c r="R144" i="14"/>
  <c r="R158" i="14"/>
  <c r="AF121" i="14"/>
  <c r="AC121" i="14"/>
  <c r="AC124" i="14" s="1"/>
  <c r="AC122" i="14"/>
  <c r="AF122" i="14"/>
  <c r="AG122" i="14" s="1"/>
  <c r="D100" i="14"/>
  <c r="F61" i="14"/>
  <c r="E37" i="14"/>
  <c r="F35" i="14"/>
  <c r="E35" i="14" s="1"/>
  <c r="Q178" i="14"/>
  <c r="R181" i="14"/>
  <c r="R121" i="14"/>
  <c r="D96" i="14"/>
  <c r="G79" i="14"/>
  <c r="G109" i="14"/>
  <c r="C110" i="14"/>
  <c r="D110" i="14"/>
  <c r="Q171" i="14"/>
  <c r="E70" i="14"/>
  <c r="F69" i="14"/>
  <c r="E69" i="14" s="1"/>
  <c r="G35" i="14"/>
  <c r="D81" i="14"/>
  <c r="M101" i="14"/>
  <c r="D101" i="14"/>
  <c r="G115" i="14"/>
  <c r="C101" i="14"/>
  <c r="D39" i="14"/>
  <c r="AF123" i="14"/>
  <c r="AG123" i="14" s="1"/>
  <c r="E90" i="14"/>
  <c r="F89" i="14"/>
  <c r="E89" i="14" s="1"/>
  <c r="F80" i="14"/>
  <c r="T22" i="7"/>
  <c r="AD10" i="7"/>
  <c r="Z11" i="7"/>
  <c r="AD11" i="7"/>
  <c r="V10" i="7"/>
  <c r="S18" i="7"/>
  <c r="F79" i="14" l="1"/>
  <c r="E79" i="14" s="1"/>
  <c r="E80" i="14"/>
  <c r="F84" i="14"/>
  <c r="D80" i="14"/>
  <c r="C109" i="14"/>
  <c r="E61" i="14"/>
  <c r="F85" i="14"/>
  <c r="E85" i="14" s="1"/>
  <c r="C62" i="14"/>
  <c r="G86" i="14"/>
  <c r="AB143" i="14"/>
  <c r="AE139" i="14"/>
  <c r="AE140" i="14" s="1"/>
  <c r="Q122" i="14"/>
  <c r="D117" i="14"/>
  <c r="D97" i="14"/>
  <c r="AC145" i="14"/>
  <c r="AB144" i="14"/>
  <c r="F62" i="14"/>
  <c r="F86" i="14" s="1"/>
  <c r="E86" i="14" s="1"/>
  <c r="E38" i="14"/>
  <c r="E110" i="14"/>
  <c r="F109" i="14"/>
  <c r="E109" i="14" s="1"/>
  <c r="D93" i="14"/>
  <c r="G59" i="14"/>
  <c r="AB121" i="14"/>
  <c r="AB124" i="14" s="1"/>
  <c r="AE121" i="14"/>
  <c r="AE122" i="14"/>
  <c r="AB122" i="14"/>
  <c r="C85" i="14"/>
  <c r="D79" i="14"/>
  <c r="C79" i="14"/>
  <c r="D112" i="14"/>
  <c r="Q133" i="14"/>
  <c r="Q135" i="14"/>
  <c r="D116" i="14"/>
  <c r="AH130" i="14"/>
  <c r="AD127" i="14"/>
  <c r="AH127" i="14" s="1"/>
  <c r="AF127" i="14"/>
  <c r="AC132" i="14"/>
  <c r="AF128" i="14"/>
  <c r="AD128" i="14"/>
  <c r="AH128" i="14" s="1"/>
  <c r="AC133" i="14"/>
  <c r="AF133" i="14" s="1"/>
  <c r="AD129" i="14"/>
  <c r="AH129" i="14" s="1"/>
  <c r="C35" i="14"/>
  <c r="D35" i="14"/>
  <c r="AB134" i="14"/>
  <c r="AE134" i="14" s="1"/>
  <c r="AE129" i="14"/>
  <c r="AB130" i="14"/>
  <c r="D111" i="14"/>
  <c r="D38" i="14"/>
  <c r="E41" i="14"/>
  <c r="D41" i="14"/>
  <c r="R184" i="14"/>
  <c r="Q184" i="14"/>
  <c r="AC134" i="14"/>
  <c r="AF134" i="14" s="1"/>
  <c r="D61" i="14"/>
  <c r="AE123" i="14"/>
  <c r="Q183" i="14"/>
  <c r="S14" i="7"/>
  <c r="Z15" i="7"/>
  <c r="V24" i="7"/>
  <c r="R135" i="14" l="1"/>
  <c r="S135" i="14"/>
  <c r="S134" i="14" s="1"/>
  <c r="Q134" i="14" s="1"/>
  <c r="R134" i="14" s="1"/>
  <c r="D86" i="14"/>
  <c r="C86" i="14"/>
  <c r="E84" i="14"/>
  <c r="D84" i="14"/>
  <c r="AE127" i="14"/>
  <c r="AB132" i="14"/>
  <c r="AE128" i="14"/>
  <c r="AB133" i="14"/>
  <c r="AE133" i="14" s="1"/>
  <c r="D85" i="14"/>
  <c r="D62" i="14"/>
  <c r="D109" i="14"/>
  <c r="D114" i="14" s="1"/>
  <c r="AC135" i="14"/>
  <c r="AF132" i="14"/>
  <c r="AF135" i="14" s="1"/>
  <c r="G83" i="14"/>
  <c r="C59" i="14"/>
  <c r="AB145" i="14"/>
  <c r="F59" i="14"/>
  <c r="AB6" i="7"/>
  <c r="E59" i="14" l="1"/>
  <c r="F83" i="14"/>
  <c r="E83" i="14" s="1"/>
  <c r="D59" i="14"/>
  <c r="AB135" i="14"/>
  <c r="AE132" i="14"/>
  <c r="AE135" i="14" s="1"/>
  <c r="D83" i="14"/>
  <c r="C83" i="14"/>
  <c r="Q7" i="7"/>
  <c r="S24" i="7" l="1"/>
  <c r="AG17" i="7" l="1"/>
  <c r="V13" i="7"/>
  <c r="V18" i="7"/>
  <c r="X18" i="7" l="1"/>
  <c r="X17" i="7" s="1"/>
  <c r="V21" i="7"/>
  <c r="AD24" i="7" s="1"/>
  <c r="U12" i="7" l="1"/>
  <c r="X9" i="7"/>
  <c r="U16" i="7" l="1"/>
  <c r="X16" i="7" s="1"/>
  <c r="X12" i="7"/>
  <c r="U10" i="7" l="1"/>
  <c r="X11" i="7"/>
  <c r="U24" i="7"/>
  <c r="X10" i="7" l="1"/>
  <c r="Z10" i="7" s="1"/>
  <c r="X24" i="7"/>
  <c r="Z24" i="7" s="1"/>
  <c r="X13" i="7" l="1"/>
  <c r="Q9" i="7" s="1"/>
  <c r="S21" i="7"/>
  <c r="AA24" i="7" s="1"/>
  <c r="AB13" i="7" l="1"/>
  <c r="AH9" i="7"/>
  <c r="X21" i="7"/>
  <c r="AA22" i="7"/>
  <c r="S26" i="7"/>
  <c r="S23" i="7"/>
  <c r="AA21" i="7" l="1"/>
  <c r="AF24" i="7"/>
  <c r="S22" i="7"/>
  <c r="Z16" i="7"/>
  <c r="U14" i="7"/>
  <c r="V14" i="7" s="1"/>
  <c r="U26" i="7"/>
  <c r="U23" i="7"/>
  <c r="U25" i="7" s="1"/>
  <c r="S25" i="7"/>
  <c r="AG10" i="7" l="1"/>
  <c r="V15" i="7"/>
  <c r="X15" i="7" s="1"/>
  <c r="AA17" i="7" s="1"/>
  <c r="U22" i="7"/>
  <c r="Q14" i="7" l="1"/>
  <c r="AE14" i="7"/>
  <c r="V26" i="7"/>
  <c r="V23" i="7"/>
  <c r="V25" i="7" s="1"/>
  <c r="X26" i="7"/>
  <c r="AB14" i="7"/>
  <c r="V22" i="7"/>
  <c r="X22" i="7" s="1"/>
  <c r="AA14" i="7"/>
  <c r="X23" i="7" l="1"/>
  <c r="X2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T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calculer par solde</t>
        </r>
      </text>
    </comment>
    <comment ref="T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voir feulle CSL</t>
        </r>
      </text>
    </comment>
    <comment ref="T1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on a  retenu 4 milliards de CI des ménages bailleurs et 0,5 MM de ménages propriétaires comme en base 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Nath</author>
    <author>PC</author>
  </authors>
  <commentList>
    <comment ref="D5" authorId="0" shapeId="0" xr:uid="{C5109A91-44B0-42D7-B1CF-0957D4485470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6" authorId="0" shapeId="0" xr:uid="{1A2935AD-2533-4F31-98B7-602562F1403F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7" authorId="0" shapeId="0" xr:uid="{C8F267F5-4DA3-497A-8574-3690F7795122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8" authorId="0" shapeId="0" xr:uid="{BA105496-A92B-44E3-B83F-A8261386C838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9" authorId="0" shapeId="0" xr:uid="{81583399-4AE6-40F1-906F-F2E64FFFA5CE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10" authorId="0" shapeId="0" xr:uid="{5957D8D9-05E4-4EAB-8879-B25BB0A8C5E3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11" authorId="0" shapeId="0" xr:uid="{A13A38C7-46A1-43FE-8430-AA38BBD55449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12" authorId="0" shapeId="0" xr:uid="{1393F0B3-406C-4A72-BB2A-C0EB803A8497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13" authorId="0" shapeId="0" xr:uid="{070E99E5-3A90-45C4-AB83-3AB4A219B89B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14" authorId="0" shapeId="0" xr:uid="{FC62A25A-0698-4480-A95C-B8BBEDEE745E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D18" authorId="0" shapeId="0" xr:uid="{5FCBC2FA-2856-4222-BA66-962B5EE789F7}">
      <text>
        <r>
          <rPr>
            <sz val="10"/>
            <color indexed="8"/>
            <rFont val="Arial"/>
            <family val="2"/>
          </rPr>
          <t xml:space="preserve">IPEA 
</t>
        </r>
      </text>
    </comment>
    <comment ref="P42" authorId="0" shapeId="0" xr:uid="{3476CE3B-C29E-4452-A09C-D7C0B690511E}">
      <text>
        <r>
          <rPr>
            <b/>
            <sz val="9"/>
            <color indexed="8"/>
            <rFont val="Tahoma"/>
            <family val="2"/>
          </rPr>
          <t xml:space="preserve">Source : fichier Estimation constr° non résidentielle sitadel 2 DPC MOA SDP  
</t>
        </r>
      </text>
    </comment>
    <comment ref="D46" authorId="0" shapeId="0" xr:uid="{9646504B-1E70-45F4-A6AC-F9B33C9D46C7}">
      <text>
        <r>
          <rPr>
            <b/>
            <sz val="8"/>
            <color indexed="8"/>
            <rFont val="Tahoma"/>
            <family val="2"/>
          </rPr>
          <t>ICP - 43BTC</t>
        </r>
      </text>
    </comment>
    <comment ref="D47" authorId="0" shapeId="0" xr:uid="{7AA0FBBA-0D65-4A9A-A1AF-0016E295B0F9}">
      <text>
        <r>
          <rPr>
            <b/>
            <sz val="8"/>
            <color indexed="8"/>
            <rFont val="Tahoma"/>
            <family val="2"/>
          </rPr>
          <t>ICP - 43BTC</t>
        </r>
      </text>
    </comment>
    <comment ref="E47" authorId="0" shapeId="0" xr:uid="{A9AA95C3-24BA-4C2E-A8F4-3BFF9FA65858}">
      <text>
        <r>
          <rPr>
            <b/>
            <sz val="9"/>
            <color indexed="8"/>
            <rFont val="Tahoma"/>
            <family val="2"/>
          </rPr>
          <t xml:space="preserve">FFB : ivol BNR Neuf MOA privé : 93,4
SOeS : ivol BNR Neuf MOA privé : ?
</t>
        </r>
      </text>
    </comment>
    <comment ref="D48" authorId="0" shapeId="0" xr:uid="{3088ECA6-7F03-4F32-90D5-D953AB587581}">
      <text>
        <r>
          <rPr>
            <b/>
            <sz val="8"/>
            <color indexed="8"/>
            <rFont val="Tahoma"/>
            <family val="2"/>
          </rPr>
          <t>ICP - 43BTC</t>
        </r>
      </text>
    </comment>
    <comment ref="E48" authorId="0" shapeId="0" xr:uid="{0A8ABC6F-25BD-4EBF-B5CC-D63BBCC37C0D}">
      <text>
        <r>
          <rPr>
            <b/>
            <sz val="9"/>
            <color indexed="8"/>
            <rFont val="Tahoma"/>
            <family val="2"/>
          </rPr>
          <t xml:space="preserve">FFB : ivol BNR Neuf MOA public  /
ivol BNR Neuf MOA public
</t>
        </r>
      </text>
    </comment>
    <comment ref="D49" authorId="0" shapeId="0" xr:uid="{AD2BB663-A6BB-43A0-874B-B50D1D4F5CD3}">
      <text>
        <r>
          <rPr>
            <b/>
            <sz val="8"/>
            <color indexed="8"/>
            <rFont val="Tahoma"/>
            <family val="2"/>
          </rPr>
          <t>ICP - 43BTR</t>
        </r>
      </text>
    </comment>
    <comment ref="D50" authorId="0" shapeId="0" xr:uid="{3DD992FF-A078-4A4D-8BE8-5CFCF7CAC24B}">
      <text>
        <r>
          <rPr>
            <b/>
            <sz val="8"/>
            <color indexed="8"/>
            <rFont val="Tahoma"/>
            <family val="2"/>
          </rPr>
          <t>ICP - 43BTR</t>
        </r>
      </text>
    </comment>
    <comment ref="C51" authorId="0" shapeId="0" xr:uid="{938AD057-055A-4061-8302-AB955E3B01F3}">
      <text>
        <r>
          <rPr>
            <sz val="8"/>
            <color indexed="8"/>
            <rFont val="Tahoma"/>
            <family val="2"/>
          </rPr>
          <t>Ajustement CI1 Petit entretien + CI4</t>
        </r>
      </text>
    </comment>
    <comment ref="D51" authorId="0" shapeId="0" xr:uid="{618AA219-C251-400D-80CF-D38506EF6708}">
      <text>
        <r>
          <rPr>
            <b/>
            <sz val="8"/>
            <color indexed="8"/>
            <rFont val="Tahoma"/>
            <family val="2"/>
          </rPr>
          <t>ICP - 43BTR</t>
        </r>
      </text>
    </comment>
    <comment ref="D52" authorId="0" shapeId="0" xr:uid="{EA170F6E-FF04-49AE-8AC1-59F3158FB798}">
      <text>
        <r>
          <rPr>
            <b/>
            <sz val="8"/>
            <color indexed="8"/>
            <rFont val="Tahoma"/>
            <family val="2"/>
          </rPr>
          <t>ICP - 43BTR</t>
        </r>
      </text>
    </comment>
    <comment ref="D53" authorId="0" shapeId="0" xr:uid="{01D8020F-F74E-455D-88BD-8AD07101F253}">
      <text>
        <r>
          <rPr>
            <b/>
            <sz val="8"/>
            <color indexed="8"/>
            <rFont val="Tahoma"/>
            <family val="2"/>
          </rPr>
          <t>ICP - 43BTR</t>
        </r>
      </text>
    </comment>
    <comment ref="C54" authorId="0" shapeId="0" xr:uid="{B3CDBBE5-7230-4FBA-82D8-5BDBEDE57ECC}">
      <text>
        <r>
          <rPr>
            <sz val="8"/>
            <color indexed="8"/>
            <rFont val="Tahoma"/>
            <family val="2"/>
          </rPr>
          <t>Ajustement CI4 APU</t>
        </r>
      </text>
    </comment>
    <comment ref="D54" authorId="0" shapeId="0" xr:uid="{E17E0BEB-232A-4479-8E7D-64BEDB4A3A4F}">
      <text>
        <r>
          <rPr>
            <b/>
            <sz val="8"/>
            <color indexed="8"/>
            <rFont val="Tahoma"/>
            <family val="2"/>
          </rPr>
          <t>ICP - 43BTR</t>
        </r>
      </text>
    </comment>
    <comment ref="D55" authorId="0" shapeId="0" xr:uid="{13674FBA-457F-4F58-B759-392B3A5BD02C}">
      <text>
        <r>
          <rPr>
            <b/>
            <sz val="8"/>
            <color indexed="8"/>
            <rFont val="Tahoma"/>
            <family val="2"/>
          </rPr>
          <t>ICP - 43BTR</t>
        </r>
      </text>
    </comment>
    <comment ref="S60" authorId="0" shapeId="0" xr:uid="{15E9F1F7-1832-40E0-96B4-3F4EEB1FED03}">
      <text>
        <r>
          <rPr>
            <b/>
            <sz val="9"/>
            <color indexed="8"/>
            <rFont val="Tahoma"/>
            <family val="2"/>
          </rPr>
          <t xml:space="preserve">iprix +1.5%, ivol:+1.8%
ival:+2.3%
</t>
        </r>
      </text>
    </comment>
    <comment ref="D65" authorId="0" shapeId="0" xr:uid="{B4A550E2-6ED1-4507-AA69-68BDFC64D723}">
      <text>
        <r>
          <rPr>
            <b/>
            <sz val="8"/>
            <color indexed="8"/>
            <rFont val="Tahoma"/>
            <family val="2"/>
          </rPr>
          <t>ICP-TP 43Z</t>
        </r>
      </text>
    </comment>
    <comment ref="P65" authorId="0" shapeId="0" xr:uid="{E6526F5C-674F-4AC6-8A7E-F2737C725E47}">
      <text>
        <r>
          <rPr>
            <sz val="9"/>
            <color indexed="8"/>
            <rFont val="Tahoma"/>
            <family val="2"/>
          </rPr>
          <t xml:space="preserve">cf. p12 du recueil statistiques annuelles 2017
 (tab 'Nature des trvx réalisés en Métropole')
</t>
        </r>
      </text>
    </comment>
    <comment ref="T65" authorId="0" shapeId="0" xr:uid="{850A87F3-8B90-4735-8190-D2DF4EB65316}">
      <text>
        <r>
          <rPr>
            <b/>
            <sz val="9"/>
            <color indexed="8"/>
            <rFont val="Tahoma"/>
            <family val="2"/>
          </rPr>
          <t xml:space="preserve">évol ICP-42Z
</t>
        </r>
      </text>
    </comment>
    <comment ref="W65" authorId="0" shapeId="0" xr:uid="{C858FA4A-9503-4E40-8CF7-B19F813DF712}">
      <text>
        <r>
          <rPr>
            <b/>
            <sz val="9"/>
            <color indexed="8"/>
            <rFont val="Tahoma"/>
            <family val="2"/>
          </rPr>
          <t xml:space="preserve">Évol ICP-TP 43Z
</t>
        </r>
      </text>
    </comment>
    <comment ref="C66" authorId="0" shapeId="0" xr:uid="{8B4C1321-28F4-4F7F-9B1F-4D3F5543F19E}">
      <text>
        <r>
          <rPr>
            <sz val="8"/>
            <color indexed="8"/>
            <rFont val="Tahoma"/>
            <family val="2"/>
          </rPr>
          <t>Enquête FNTP -neuf/entretien</t>
        </r>
      </text>
    </comment>
    <comment ref="D66" authorId="0" shapeId="0" xr:uid="{E846958A-E76E-4D3C-9F35-D57DBDBA0FF7}">
      <text>
        <r>
          <rPr>
            <b/>
            <sz val="8"/>
            <color indexed="8"/>
            <rFont val="Tahoma"/>
            <family val="2"/>
          </rPr>
          <t>ICP-TP 43Z</t>
        </r>
      </text>
    </comment>
    <comment ref="C67" authorId="0" shapeId="0" xr:uid="{AEDD70AB-44C2-47DD-9DDD-754AC5DE60FB}">
      <text>
        <r>
          <rPr>
            <sz val="8"/>
            <color indexed="8"/>
            <rFont val="Tahoma"/>
            <family val="2"/>
          </rPr>
          <t>Enquête FNTP -neuf/entretien</t>
        </r>
      </text>
    </comment>
    <comment ref="D67" authorId="0" shapeId="0" xr:uid="{670283B4-489D-41FF-AA6E-44C0788048DC}">
      <text>
        <r>
          <rPr>
            <b/>
            <sz val="8"/>
            <color indexed="8"/>
            <rFont val="Tahoma"/>
            <family val="2"/>
          </rPr>
          <t>ICP-TP 43Z</t>
        </r>
      </text>
    </comment>
    <comment ref="P67" authorId="0" shapeId="0" xr:uid="{927B030D-AA7B-4609-BBDA-4CE63AB567E4}">
      <text>
        <r>
          <rPr>
            <sz val="9"/>
            <color indexed="8"/>
            <rFont val="Tahoma"/>
            <family val="2"/>
          </rPr>
          <t xml:space="preserve">cf. p12 du recueil statistiques annuelles 2015 (tab 'Nature des trvx réalisés en Métropole')
</t>
        </r>
      </text>
    </comment>
    <comment ref="Q67" authorId="0" shapeId="0" xr:uid="{0E735000-8CFD-4143-91D5-A621C2642B40}">
      <text>
        <r>
          <rPr>
            <b/>
            <sz val="9"/>
            <color indexed="8"/>
            <rFont val="Tahoma"/>
            <family val="2"/>
          </rPr>
          <t xml:space="preserve">Évol ICP-TP (équiv TP01)
</t>
        </r>
      </text>
    </comment>
    <comment ref="C68" authorId="0" shapeId="0" xr:uid="{B0C187C2-E02A-420E-B839-7506DAA59F5E}">
      <text>
        <r>
          <rPr>
            <sz val="8"/>
            <color indexed="8"/>
            <rFont val="Tahoma"/>
            <family val="2"/>
          </rPr>
          <t>Enquête FNTP Neuf/entr</t>
        </r>
      </text>
    </comment>
    <comment ref="D68" authorId="0" shapeId="0" xr:uid="{1202EDC2-4769-4393-89BE-E1B626A3F78F}">
      <text>
        <r>
          <rPr>
            <b/>
            <sz val="8"/>
            <color indexed="8"/>
            <rFont val="Tahoma"/>
            <family val="2"/>
          </rPr>
          <t>ICP-TP 43Z</t>
        </r>
      </text>
    </comment>
    <comment ref="D69" authorId="0" shapeId="0" xr:uid="{9B3C7FF3-966C-4E0F-B7BB-9C0BE2A4FEF0}">
      <text>
        <r>
          <rPr>
            <b/>
            <sz val="8"/>
            <color indexed="8"/>
            <rFont val="Tahoma"/>
            <family val="2"/>
          </rPr>
          <t>ICP-TP 43Z</t>
        </r>
      </text>
    </comment>
    <comment ref="D70" authorId="0" shapeId="0" xr:uid="{E7359438-EDD4-437E-A499-9B043C047656}">
      <text>
        <r>
          <rPr>
            <b/>
            <sz val="8"/>
            <color indexed="8"/>
            <rFont val="Tahoma"/>
            <family val="2"/>
          </rPr>
          <t>ICP-TP 43Z</t>
        </r>
      </text>
    </comment>
    <comment ref="N70" authorId="0" shapeId="0" xr:uid="{74FB3015-057F-471C-A2A9-965B6F931067}">
      <text>
        <r>
          <rPr>
            <sz val="8"/>
            <color indexed="8"/>
            <rFont val="Arial"/>
            <family val="2"/>
          </rPr>
          <t>Recueil stat 2016 p17</t>
        </r>
      </text>
    </comment>
    <comment ref="C71" authorId="0" shapeId="0" xr:uid="{01FD7356-3982-4DAB-851B-2FE3C59D5E3A}">
      <text>
        <r>
          <rPr>
            <sz val="8"/>
            <color indexed="8"/>
            <rFont val="Tahoma"/>
            <family val="2"/>
          </rPr>
          <t xml:space="preserve">Evol exogène conso des ménages - ajustement CI1 et CF menages ;
 sur Visu_Exo_btp Def16 3eT on avait
 16811/16375
</t>
        </r>
      </text>
    </comment>
    <comment ref="D71" authorId="0" shapeId="0" xr:uid="{7A0B15C8-4058-4941-832B-ECB2DA4F37E8}">
      <text>
        <r>
          <rPr>
            <sz val="8"/>
            <color indexed="8"/>
            <rFont val="Tahoma"/>
            <family val="2"/>
          </rPr>
          <t>IPC</t>
        </r>
      </text>
    </comment>
    <comment ref="P71" authorId="0" shapeId="0" xr:uid="{794CB756-F614-4537-8616-58D6B0D19031}">
      <text>
        <r>
          <rPr>
            <sz val="8"/>
            <color indexed="8"/>
            <rFont val="Arial"/>
            <family val="2"/>
          </rPr>
          <t>Etat et coll locales</t>
        </r>
      </text>
    </comment>
    <comment ref="C72" authorId="0" shapeId="0" xr:uid="{454DFD6F-7169-4733-80CC-C38ED578661F}">
      <text>
        <r>
          <rPr>
            <sz val="8"/>
            <color indexed="8"/>
            <rFont val="Tahoma"/>
            <family val="2"/>
          </rPr>
          <t>Enquête FNTP Neuf/entretien</t>
        </r>
      </text>
    </comment>
    <comment ref="C74" authorId="0" shapeId="0" xr:uid="{355DA647-2AD2-4A4B-B9E2-9C64B913D6BF}">
      <text>
        <r>
          <rPr>
            <sz val="8"/>
            <color indexed="8"/>
            <rFont val="Tahoma"/>
            <family val="2"/>
          </rPr>
          <t>Enquête FNTP Neuf/entretien</t>
        </r>
      </text>
    </comment>
    <comment ref="C75" authorId="0" shapeId="0" xr:uid="{DF9AB267-378C-44A7-8743-472FBEB66397}">
      <text>
        <r>
          <rPr>
            <sz val="8"/>
            <color indexed="8"/>
            <rFont val="Tahoma"/>
            <family val="2"/>
          </rPr>
          <t>Enquête FNTP Neuf/entretien</t>
        </r>
      </text>
    </comment>
    <comment ref="C77" authorId="0" shapeId="0" xr:uid="{45AB93E6-AA75-46FA-9698-779BB793ABF2}">
      <text>
        <r>
          <rPr>
            <sz val="8"/>
            <color indexed="8"/>
            <rFont val="Tahoma"/>
            <family val="2"/>
          </rPr>
          <t>Enquête FNTP Neuf/entretien</t>
        </r>
      </text>
    </comment>
    <comment ref="C78" authorId="0" shapeId="0" xr:uid="{27E56569-585B-453B-A24B-894B468FD80F}">
      <text>
        <r>
          <rPr>
            <sz val="8"/>
            <color indexed="8"/>
            <rFont val="Tahoma"/>
            <family val="2"/>
          </rPr>
          <t>Enquête FNTP Neuf/entretien</t>
        </r>
      </text>
    </comment>
    <comment ref="O84" authorId="0" shapeId="0" xr:uid="{1FD8A2A1-3F87-4B8D-8ADA-A75C0A85363C}">
      <text>
        <r>
          <rPr>
            <sz val="8"/>
            <color indexed="8"/>
            <rFont val="Arial"/>
            <family val="2"/>
          </rPr>
          <t>Revu Def2016</t>
        </r>
      </text>
    </comment>
    <comment ref="Q85" authorId="0" shapeId="0" xr:uid="{0FD77413-B1CF-4624-B77C-DC67871A3368}">
      <text>
        <r>
          <rPr>
            <b/>
            <sz val="9"/>
            <color indexed="8"/>
            <rFont val="Tahoma"/>
            <family val="2"/>
          </rPr>
          <t xml:space="preserve">ICP-TP 43
</t>
        </r>
      </text>
    </comment>
    <comment ref="O87" authorId="0" shapeId="0" xr:uid="{07572F4D-D6F0-419A-A125-766D6A94982C}">
      <text>
        <r>
          <rPr>
            <sz val="8"/>
            <color indexed="8"/>
            <rFont val="Arial"/>
            <family val="2"/>
          </rPr>
          <t>Revu Def2016</t>
        </r>
      </text>
    </comment>
    <comment ref="Q88" authorId="0" shapeId="0" xr:uid="{4F5B3A59-8397-4031-A610-B6B81EDC7A25}">
      <text>
        <r>
          <rPr>
            <b/>
            <sz val="9"/>
            <color indexed="8"/>
            <rFont val="Tahoma"/>
            <family val="2"/>
          </rPr>
          <t xml:space="preserve">ICP-TP 43
</t>
        </r>
      </text>
    </comment>
    <comment ref="G97" authorId="0" shapeId="0" xr:uid="{98E564DF-8960-4D64-A0FC-0F0C8A277234}">
      <text>
        <r>
          <rPr>
            <sz val="8"/>
            <color indexed="8"/>
            <rFont val="Tahoma"/>
            <family val="2"/>
          </rPr>
          <t>FBCF ERE</t>
        </r>
      </text>
    </comment>
    <comment ref="H97" authorId="1" shapeId="0" xr:uid="{91467735-E72E-4DF4-87D3-54B7E08E692A}">
      <text>
        <r>
          <rPr>
            <b/>
            <sz val="9"/>
            <color indexed="81"/>
            <rFont val="Tahoma"/>
            <family val="2"/>
          </rPr>
          <t>cible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8" authorId="1" shapeId="0" xr:uid="{DCFBFB24-EAEE-43B0-BE69-FB1F9B181916}">
      <text>
        <r>
          <rPr>
            <b/>
            <sz val="9"/>
            <color indexed="81"/>
            <rFont val="Tahoma"/>
            <family val="2"/>
          </rPr>
          <t>=ligne 169 de l'ERE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1" authorId="1" shapeId="0" xr:uid="{4CA2B139-A27D-4D32-B237-9018698BEEAF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2" authorId="0" shapeId="0" xr:uid="{95F88DD8-E1F0-40FD-A405-94553084943D}">
      <text>
        <r>
          <rPr>
            <sz val="8"/>
            <color indexed="8"/>
            <rFont val="Tahoma"/>
            <family val="2"/>
          </rPr>
          <t>CF ERE + CI ménages</t>
        </r>
      </text>
    </comment>
    <comment ref="H104" authorId="0" shapeId="0" xr:uid="{FBAC63DB-5074-4A9F-A693-49E89AC89B7D}">
      <text>
        <r>
          <rPr>
            <sz val="8"/>
            <color indexed="8"/>
            <rFont val="Tahoma"/>
            <family val="2"/>
          </rPr>
          <t xml:space="preserve">CI 4 des APU (cf montant calculé ds  fichier Calcul CI)
</t>
        </r>
      </text>
    </comment>
    <comment ref="D106" authorId="0" shapeId="0" xr:uid="{036E8F66-6FF1-4388-8F14-B22322F5A859}">
      <text>
        <r>
          <rPr>
            <sz val="8"/>
            <color indexed="8"/>
            <rFont val="Tahoma"/>
            <family val="2"/>
          </rPr>
          <t xml:space="preserve">Calcul CI - onglet Prix des CI L48
</t>
        </r>
      </text>
    </comment>
    <comment ref="D107" authorId="0" shapeId="0" xr:uid="{AE5E211C-8EFB-48A5-9D2F-0AFC60DCCFBE}">
      <text>
        <r>
          <rPr>
            <sz val="8"/>
            <color indexed="8"/>
            <rFont val="Tahoma"/>
            <family val="2"/>
          </rPr>
          <t xml:space="preserve">Calcul CI - onglet Prix des CI L48
</t>
        </r>
      </text>
    </comment>
    <comment ref="D108" authorId="0" shapeId="0" xr:uid="{0A93B4FA-3CEC-417E-ABE9-3230D107CD4A}">
      <text>
        <r>
          <rPr>
            <sz val="8"/>
            <color indexed="8"/>
            <rFont val="Tahoma"/>
            <family val="2"/>
          </rPr>
          <t xml:space="preserve">Calcul CI - onglet Prix des CI L48
</t>
        </r>
      </text>
    </comment>
    <comment ref="D113" authorId="0" shapeId="0" xr:uid="{63C1A66C-A1E0-4CD4-BEC5-2CA821AFD579}">
      <text>
        <r>
          <rPr>
            <sz val="8"/>
            <color indexed="8"/>
            <rFont val="Tahoma"/>
            <family val="2"/>
          </rPr>
          <t>ICC</t>
        </r>
      </text>
    </comment>
    <comment ref="G113" authorId="0" shapeId="0" xr:uid="{2F9B238E-7980-4838-BDEF-2B70C184DC0E}">
      <text>
        <r>
          <rPr>
            <sz val="8"/>
            <color indexed="8"/>
            <rFont val="Arial"/>
            <family val="2"/>
          </rPr>
          <t xml:space="preserve">7eT : -367+160
</t>
        </r>
      </text>
    </comment>
    <comment ref="S134" authorId="0" shapeId="0" xr:uid="{E13DBC07-F89B-4D85-8F97-036319742B67}">
      <text>
        <r>
          <rPr>
            <b/>
            <sz val="9"/>
            <color indexed="8"/>
            <rFont val="Tahoma"/>
            <family val="2"/>
          </rPr>
          <t xml:space="preserve">Pelican 39505
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O135" authorId="0" shapeId="0" xr:uid="{9B7FEFF8-A6E6-4C6C-8A39-53A674E71FC2}">
      <text>
        <r>
          <rPr>
            <b/>
            <sz val="9"/>
            <color indexed="8"/>
            <rFont val="Tahoma"/>
            <family val="2"/>
          </rPr>
          <t xml:space="preserve">exo DEF
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S135" authorId="0" shapeId="0" xr:uid="{114C4614-42AD-4419-AED0-2FC45CBD9B27}">
      <text>
        <r>
          <rPr>
            <b/>
            <sz val="9"/>
            <color indexed="8"/>
            <rFont val="Tahoma"/>
            <family val="2"/>
          </rPr>
          <t xml:space="preserve">Pelican 8120
</t>
        </r>
      </text>
    </comment>
    <comment ref="U135" authorId="2" shapeId="0" xr:uid="{0121C7A5-3F43-4F55-BA3D-54CE66089989}">
      <text>
        <r>
          <rPr>
            <b/>
            <sz val="9"/>
            <color indexed="81"/>
            <rFont val="Tahoma"/>
            <family val="2"/>
          </rPr>
          <t xml:space="preserve">9443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Gaignon Sophie</author>
    <author/>
    <author>Nath</author>
  </authors>
  <commentList>
    <comment ref="B2" authorId="0" shapeId="0" xr:uid="{40245434-76F8-4966-8D58-CCF3123A16A8}">
      <text>
        <r>
          <rPr>
            <sz val="9"/>
            <color indexed="81"/>
            <rFont val="Tahoma"/>
            <family val="2"/>
          </rPr>
          <t xml:space="preserve">cible 4692
</t>
        </r>
      </text>
    </comment>
    <comment ref="C2" authorId="0" shapeId="0" xr:uid="{78979E70-35A8-421B-97EF-3FFC390D1694}">
      <text>
        <r>
          <rPr>
            <sz val="9"/>
            <color indexed="81"/>
            <rFont val="Tahoma"/>
            <family val="2"/>
          </rPr>
          <t xml:space="preserve">cible 4692
</t>
        </r>
      </text>
    </comment>
    <comment ref="E5" authorId="1" shapeId="0" xr:uid="{BD1196F9-D970-480B-956C-87002C7DBDA4}">
      <text>
        <r>
          <rPr>
            <sz val="8"/>
            <color indexed="8"/>
            <rFont val="Tahoma"/>
            <family val="2"/>
          </rPr>
          <t>ICC</t>
        </r>
      </text>
    </comment>
    <comment ref="E6" authorId="1" shapeId="0" xr:uid="{B4B72047-AF87-4ECC-81A5-A90CF560FC2D}">
      <text>
        <r>
          <rPr>
            <sz val="8"/>
            <color indexed="8"/>
            <rFont val="Tahoma"/>
            <family val="2"/>
          </rPr>
          <t>ICC</t>
        </r>
      </text>
    </comment>
    <comment ref="E7" authorId="1" shapeId="0" xr:uid="{E93ECCB4-053E-49FC-B1D8-A25D47E0FDB1}">
      <text>
        <r>
          <rPr>
            <sz val="8"/>
            <color indexed="8"/>
            <rFont val="Tahoma"/>
            <family val="2"/>
          </rPr>
          <t>ICC</t>
        </r>
      </text>
    </comment>
    <comment ref="E8" authorId="1" shapeId="0" xr:uid="{273EEA88-DF3C-48B4-8589-265E943F1CF2}">
      <text>
        <r>
          <rPr>
            <sz val="8"/>
            <color indexed="8"/>
            <rFont val="Tahoma"/>
            <family val="2"/>
          </rPr>
          <t>ICC</t>
        </r>
      </text>
    </comment>
    <comment ref="L8" authorId="2" shapeId="0" xr:uid="{D7A0BD3E-C925-4857-BFE1-9034DA83A9F4}">
      <text>
        <r>
          <rPr>
            <b/>
            <sz val="9"/>
            <color indexed="81"/>
            <rFont val="Tahoma"/>
            <family val="2"/>
          </rPr>
          <t xml:space="preserve">verifier les donnees du SD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1" shapeId="0" xr:uid="{D241141B-00DA-49A6-8588-72D0C72E3BD8}">
      <text>
        <r>
          <rPr>
            <sz val="8"/>
            <color indexed="8"/>
            <rFont val="Tahoma"/>
            <family val="2"/>
          </rPr>
          <t>ICC</t>
        </r>
      </text>
    </comment>
    <comment ref="E10" authorId="1" shapeId="0" xr:uid="{FE4E12DB-D94F-4F57-B1E2-6340AE879822}">
      <text>
        <r>
          <rPr>
            <sz val="8"/>
            <color indexed="8"/>
            <rFont val="Tahoma"/>
            <family val="2"/>
          </rPr>
          <t>ICC</t>
        </r>
      </text>
    </comment>
    <comment ref="E11" authorId="1" shapeId="0" xr:uid="{2AC9DEDE-1F80-44B1-8C87-1F2539B89807}">
      <text>
        <r>
          <rPr>
            <sz val="8"/>
            <color indexed="8"/>
            <rFont val="Tahoma"/>
            <family val="2"/>
          </rPr>
          <t>ICC</t>
        </r>
      </text>
    </comment>
    <comment ref="E12" authorId="1" shapeId="0" xr:uid="{F1310A12-83E1-459A-B5FD-90A0304178A7}">
      <text>
        <r>
          <rPr>
            <sz val="8"/>
            <color indexed="8"/>
            <rFont val="Tahoma"/>
            <family val="2"/>
          </rPr>
          <t>ICC</t>
        </r>
      </text>
    </comment>
    <comment ref="E13" authorId="1" shapeId="0" xr:uid="{0FA924CE-385B-4ED2-AE20-61B530FE307A}">
      <text>
        <r>
          <rPr>
            <sz val="8"/>
            <color indexed="8"/>
            <rFont val="Tahoma"/>
            <family val="2"/>
          </rPr>
          <t>ICC</t>
        </r>
      </text>
    </comment>
    <comment ref="E14" authorId="1" shapeId="0" xr:uid="{74CD538E-4A62-47BD-BA3C-7892905DE69F}">
      <text>
        <r>
          <rPr>
            <sz val="8"/>
            <color indexed="8"/>
            <rFont val="Tahoma"/>
            <family val="2"/>
          </rPr>
          <t>ICC</t>
        </r>
      </text>
    </comment>
    <comment ref="E15" authorId="1" shapeId="0" xr:uid="{323645A1-2683-4B81-A8D4-8BB689F20DF9}">
      <text>
        <r>
          <rPr>
            <sz val="8"/>
            <color indexed="8"/>
            <rFont val="Tahoma"/>
            <family val="2"/>
          </rPr>
          <t>IPEA</t>
        </r>
      </text>
    </comment>
    <comment ref="D20" authorId="1" shapeId="0" xr:uid="{CA84E0F0-03FC-428E-971E-3C6442DB51AF}">
      <text>
        <r>
          <rPr>
            <b/>
            <sz val="9"/>
            <color indexed="8"/>
            <rFont val="Tahoma"/>
            <family val="2"/>
          </rPr>
          <t xml:space="preserve">Ival activ immo 'trvx' des ménages SDeS
</t>
        </r>
      </text>
    </comment>
    <comment ref="D22" authorId="1" shapeId="0" xr:uid="{08D83158-AB1A-4C15-A4D3-C2F6743D9A0C}">
      <text>
        <r>
          <rPr>
            <b/>
            <sz val="9"/>
            <color indexed="8"/>
            <rFont val="Tahoma"/>
            <family val="2"/>
          </rPr>
          <t xml:space="preserve">Ival activ immo 'trvx' des ménages SDeS p 81
</t>
        </r>
      </text>
    </comment>
    <comment ref="N28" authorId="1" shapeId="0" xr:uid="{EE4AA10F-DF71-4670-BF27-964EBCB40ADE}">
      <text>
        <r>
          <rPr>
            <b/>
            <sz val="9"/>
            <color indexed="8"/>
            <rFont val="Tahoma"/>
            <family val="2"/>
          </rPr>
          <t xml:space="preserve">Source : fichier Estimation constr° non résidentielle sitadel 2 DPC MOA SDP  
</t>
        </r>
      </text>
    </comment>
    <comment ref="U28" authorId="2" shapeId="0" xr:uid="{F47E83A4-E0FB-4161-9092-7668692DB786}">
      <text>
        <r>
          <rPr>
            <b/>
            <sz val="9"/>
            <color indexed="81"/>
            <rFont val="Tahoma"/>
            <family val="2"/>
          </rPr>
          <t>Nath:</t>
        </r>
        <r>
          <rPr>
            <sz val="9"/>
            <color indexed="81"/>
            <rFont val="Tahoma"/>
            <family val="2"/>
          </rPr>
          <t xml:space="preserve">
ICC
</t>
        </r>
      </text>
    </comment>
    <comment ref="R31" authorId="1" shapeId="0" xr:uid="{6784CF46-DB7A-469D-AB1C-C409918F6332}">
      <text>
        <r>
          <rPr>
            <b/>
            <sz val="9"/>
            <color indexed="8"/>
            <rFont val="Tahoma"/>
            <family val="2"/>
          </rPr>
          <t xml:space="preserve">bilan ou conf. Dec 2018 : commande publique :+7% en vol
</t>
        </r>
      </text>
    </comment>
    <comment ref="E36" authorId="1" shapeId="0" xr:uid="{D347F311-F9A8-4533-A187-8A15AE21B26D}">
      <text>
        <r>
          <rPr>
            <b/>
            <sz val="9"/>
            <color indexed="8"/>
            <rFont val="Tahoma"/>
            <family val="2"/>
          </rPr>
          <t xml:space="preserve">ICP Bât - 41B
</t>
        </r>
      </text>
    </comment>
    <comment ref="E39" authorId="1" shapeId="0" xr:uid="{5A28DCD4-D713-49D8-9E80-363D837EA3BA}">
      <text>
        <r>
          <rPr>
            <sz val="8"/>
            <color indexed="8"/>
            <rFont val="Tahoma"/>
            <family val="2"/>
          </rPr>
          <t>IPEA</t>
        </r>
      </text>
    </comment>
    <comment ref="C58" authorId="1" shapeId="0" xr:uid="{6AB37F74-A085-4F3F-9DDF-3E8F6B71B21E}">
      <text>
        <r>
          <rPr>
            <sz val="8"/>
            <color indexed="8"/>
            <rFont val="Tahoma"/>
            <family val="2"/>
          </rPr>
          <t>yc var stocks = ligne de l'ERE</t>
        </r>
      </text>
    </comment>
    <comment ref="H58" authorId="1" shapeId="0" xr:uid="{2F0F7856-67EB-4C69-BD38-B8A1F9FB435C}">
      <text>
        <r>
          <rPr>
            <sz val="8"/>
            <color indexed="8"/>
            <rFont val="Tahoma"/>
            <family val="2"/>
          </rPr>
          <t>yc var stocks = ligne de l'ERE</t>
        </r>
      </text>
    </comment>
    <comment ref="B70" authorId="0" shapeId="0" xr:uid="{83498C6F-DECC-4A1B-97D1-872B33534B7A}">
      <text>
        <r>
          <rPr>
            <b/>
            <sz val="9"/>
            <color indexed="81"/>
            <rFont val="Tahoma"/>
            <family val="2"/>
          </rPr>
          <t>cible 13400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2" authorId="2" shapeId="0" xr:uid="{EE7F02A8-AC74-4D54-8839-239ED5C28600}">
      <text>
        <r>
          <rPr>
            <b/>
            <sz val="9"/>
            <color indexed="81"/>
            <rFont val="Tahoma"/>
            <family val="2"/>
          </rPr>
          <t xml:space="preserve">4511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2" shapeId="0" xr:uid="{F107FCB0-0703-48DD-AB16-007B261274D0}">
      <text>
        <r>
          <rPr>
            <b/>
            <sz val="9"/>
            <color indexed="81"/>
            <rFont val="Tahoma"/>
            <family val="2"/>
          </rPr>
          <t xml:space="preserve">4511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3" authorId="1" shapeId="0" xr:uid="{43B79034-E8C8-4EC7-8AF7-E30289ABCB8E}">
      <text>
        <r>
          <rPr>
            <b/>
            <sz val="9"/>
            <color indexed="8"/>
            <rFont val="Tahoma"/>
            <family val="2"/>
          </rPr>
          <t xml:space="preserve">ICC
</t>
        </r>
      </text>
    </comment>
    <comment ref="M84" authorId="1" shapeId="0" xr:uid="{56E26115-0E53-47B6-8740-0388C8561C4A}">
      <text>
        <r>
          <rPr>
            <sz val="8"/>
            <color indexed="8"/>
            <rFont val="Arial"/>
            <family val="2"/>
          </rPr>
          <t>Ok Def2015</t>
        </r>
      </text>
    </comment>
  </commentList>
</comments>
</file>

<file path=xl/sharedStrings.xml><?xml version="1.0" encoding="utf-8"?>
<sst xmlns="http://schemas.openxmlformats.org/spreadsheetml/2006/main" count="5828" uniqueCount="1088">
  <si>
    <r>
      <rPr>
        <b/>
        <sz val="12"/>
        <rFont val="Arial"/>
        <family val="2"/>
        <charset val="1"/>
      </rPr>
      <t xml:space="preserve">TABLEAU ENTREES SORTIES </t>
    </r>
    <r>
      <rPr>
        <sz val="12"/>
        <rFont val="Arial"/>
        <family val="2"/>
        <charset val="1"/>
      </rPr>
      <t>niveau 38</t>
    </r>
  </si>
  <si>
    <t>Organisation du TES</t>
  </si>
  <si>
    <t>Tableau des ressources en produits</t>
  </si>
  <si>
    <t>Tableau des entrées intermédiaires</t>
  </si>
  <si>
    <t>Tableau des emplois finals</t>
  </si>
  <si>
    <t>Compte de production par branche</t>
  </si>
  <si>
    <t>Compte d'exploitation par branche</t>
  </si>
  <si>
    <t>cliquez sur le nom du compte que vous voulez consulter</t>
  </si>
  <si>
    <t>Année 2021</t>
  </si>
  <si>
    <t>Source: Comptes nationaux - Base 2014, Insee</t>
  </si>
  <si>
    <t>Unité: Millions d'euros</t>
  </si>
  <si>
    <t>PRODUITS</t>
  </si>
  <si>
    <t>AGRICULTURE, SYLVICULTURE ET PÊCHE</t>
  </si>
  <si>
    <t>AZ</t>
  </si>
  <si>
    <t>INDUSTRIES EXTRACTIVES</t>
  </si>
  <si>
    <t>BZ</t>
  </si>
  <si>
    <t>FABRICATION DE DENRÉES ALIMENTAIRES, DE BOISSONS ET DE PRODUITS À BASE DE TABAC</t>
  </si>
  <si>
    <t>CA</t>
  </si>
  <si>
    <t>FABRICATION DE TEXTILES, INDUSTRIES DE L'HABILLEMENT, INDUSTRIE DU CUIR ET DE LA CHAUSSURE</t>
  </si>
  <si>
    <t>CB</t>
  </si>
  <si>
    <t>TRAVAIL DU BOIS, INDUSTRIES DU PAPIER ET IMPRIMERIE</t>
  </si>
  <si>
    <t>CC</t>
  </si>
  <si>
    <t>COKÉFACTION ET RAFFINAGE</t>
  </si>
  <si>
    <t>CD</t>
  </si>
  <si>
    <t>INDUSTRIE CHIMIQUE</t>
  </si>
  <si>
    <t>CE</t>
  </si>
  <si>
    <t>INDUSTRIE PHARMACEUTIQUE</t>
  </si>
  <si>
    <t>CF</t>
  </si>
  <si>
    <t>FABRICATION DE PRODUITS EN CAOUTCHOUC, EN PLASTIQUE ET D'AUTRES PRODUITS MINÉRAUX NON MÉTALLIQUES</t>
  </si>
  <si>
    <t>CG</t>
  </si>
  <si>
    <t>MÉTALLURGIE ET FABRICATION DE PRODUITS MÉTALLIQUES, HORS MACHINES ET ÉQUIPEMENTS</t>
  </si>
  <si>
    <t>CH</t>
  </si>
  <si>
    <t>FABRICATION DE PRODUITS INFORMATIQUES, ÉLECTRONIQUES ET OPTIQUES</t>
  </si>
  <si>
    <t>CI</t>
  </si>
  <si>
    <t>FABRICATION D ÉQUIPEMENTS ÉLECTRIQUES</t>
  </si>
  <si>
    <t>CJ</t>
  </si>
  <si>
    <t>FABRICATION DE MACHINES ET ÉQUIPEMENTS N.C.A.</t>
  </si>
  <si>
    <t>CK</t>
  </si>
  <si>
    <t>FABRICATION DE MATÉRIELS DE TRANSPORT</t>
  </si>
  <si>
    <t>CL</t>
  </si>
  <si>
    <t>AUTRES INDUSTRIES MANUFACTURIÈRES ; RÉPARATION ET INSTALLATION DE MACHINES ET D'ÉQUIPEMENTS</t>
  </si>
  <si>
    <t>CM</t>
  </si>
  <si>
    <t>PRODUCTION ET DISTRIBUTION D'ÉLECTRICITÉ, DE GAZ, DE VAPEUR ET D'AIR CONDITIONNÉ</t>
  </si>
  <si>
    <t>DZ</t>
  </si>
  <si>
    <t>PRODUCTION ET DISTRIBUTION D'EAU ; ASSAINISSEMENT, GESTION DES DÉCHETS ET DÉPOLLUTION</t>
  </si>
  <si>
    <t>EZ</t>
  </si>
  <si>
    <t>CONSTRUCTION</t>
  </si>
  <si>
    <t>FZ</t>
  </si>
  <si>
    <t>COMMERCE ; RÉPARATION D'AUTOMOBILES ET DE MOTOCYCLES</t>
  </si>
  <si>
    <t>GZ</t>
  </si>
  <si>
    <t>TRANSPORTS ET ENTREPOSAGE</t>
  </si>
  <si>
    <t>HZ</t>
  </si>
  <si>
    <t>HÉBERGEMENT ET RESTAURATION</t>
  </si>
  <si>
    <t>IZ</t>
  </si>
  <si>
    <t>ÉDITION, AUDIOVISUEL ET DIFFUSION</t>
  </si>
  <si>
    <t>JA</t>
  </si>
  <si>
    <t>TÉLÉCOMMUNICATIONS</t>
  </si>
  <si>
    <t>JB</t>
  </si>
  <si>
    <t>ACTIVITÉS INFORMATIQUES ET SERVICES D'INFORMATION</t>
  </si>
  <si>
    <t>JC</t>
  </si>
  <si>
    <t>ACTIVITÉS FINANCIÈRES ET D'ASSURANCE</t>
  </si>
  <si>
    <t>KZ</t>
  </si>
  <si>
    <t>ACTIVITÉS IMMOBILIÈRES</t>
  </si>
  <si>
    <t>LZ</t>
  </si>
  <si>
    <t>ACTIVITÉS JURIDIQUES, COMPTABLES, DE GESTION, D'ARCHITECTURE, D'INGÉNIERIE, DE CONTRÔLE ET D'ANALYSES TECHNIQUES</t>
  </si>
  <si>
    <t>MA</t>
  </si>
  <si>
    <t>RECHERCHE-DÉVELOPPEMENT SCIENTIFIQUE</t>
  </si>
  <si>
    <t>MB</t>
  </si>
  <si>
    <t>AUTRES ACTIVITÉS SPÉCIALISÉES, SCIENTIFIQUES ET TECHNIQUES</t>
  </si>
  <si>
    <t>MC</t>
  </si>
  <si>
    <t>ACTIVITÉS DE SERVICES ADMINISTRATIFS ET DE SOUTIEN</t>
  </si>
  <si>
    <t>NZ</t>
  </si>
  <si>
    <t>ADMINISTRATION PUBLIQUE ET DÉFENSE - SÉCURITÉ SOCIALE OBLIGATOIRE</t>
  </si>
  <si>
    <t>OZ</t>
  </si>
  <si>
    <t>ENSEIGNEMENT</t>
  </si>
  <si>
    <t>PZ</t>
  </si>
  <si>
    <t>ACTIVITÉS POUR LA SANTÉ HUMAINE</t>
  </si>
  <si>
    <t>QA</t>
  </si>
  <si>
    <t>HÉBERGEMENT MÉDICO-SOCIAL ET SOCIAL ET ACTION SOCIALE SANS HÉBERGEMENT</t>
  </si>
  <si>
    <t>QB</t>
  </si>
  <si>
    <t>ARTS, SPECTACLES ET ACTIVITÉS RÉCRÉATIVES</t>
  </si>
  <si>
    <t>RZ</t>
  </si>
  <si>
    <t>AUTRES ACTIVITÉS DE SERVICES</t>
  </si>
  <si>
    <t>SZ</t>
  </si>
  <si>
    <t>ACTIVITÉS DES MÉNAGES EN TANT QU'EMPLOYEURS ; ACTIVITÉS INDIFFÉRENCIÉES DES MÉNAGES EN TANT QUE PRODUCTEURS DE BIENS ET SERVICES POUR USAGE PROPRE</t>
  </si>
  <si>
    <t>TZ</t>
  </si>
  <si>
    <t>CORRECTION TERRITORIALE</t>
  </si>
  <si>
    <t xml:space="preserve">PCHTR </t>
  </si>
  <si>
    <t>CORRECTION CAF/FAB</t>
  </si>
  <si>
    <t>PCAFAB</t>
  </si>
  <si>
    <t>TOTAL</t>
  </si>
  <si>
    <t xml:space="preserve">TOTAL </t>
  </si>
  <si>
    <t>TABLEAU DES EMPLOIS FINALS</t>
  </si>
  <si>
    <t>Dépense de consommation finale</t>
  </si>
  <si>
    <t xml:space="preserve">Formation brute de capital fixe </t>
  </si>
  <si>
    <t>Ménages</t>
  </si>
  <si>
    <t>Collective APU</t>
  </si>
  <si>
    <t>Individuelle APU</t>
  </si>
  <si>
    <t>Total APU</t>
  </si>
  <si>
    <t>ISBLSM</t>
  </si>
  <si>
    <t>DEPENSE TOTALE</t>
  </si>
  <si>
    <t>SNFEI</t>
  </si>
  <si>
    <t>Ménages hors EI</t>
  </si>
  <si>
    <t>SFEI</t>
  </si>
  <si>
    <t>APU</t>
  </si>
  <si>
    <t>FBCF TOTALE</t>
  </si>
  <si>
    <t>Acq. moins ces. d'objets de valeur</t>
  </si>
  <si>
    <t>Variation des stocks</t>
  </si>
  <si>
    <t xml:space="preserve">FBC totale </t>
  </si>
  <si>
    <t>Exportations de biens et de services</t>
  </si>
  <si>
    <t>Total des emplois finals</t>
  </si>
  <si>
    <t>TABLEAU DES ENTREES INTERMEDIAIRES</t>
  </si>
  <si>
    <t>BRANCHES</t>
  </si>
  <si>
    <t>CI2</t>
  </si>
  <si>
    <t>CI4</t>
  </si>
  <si>
    <t>Conso</t>
  </si>
  <si>
    <t xml:space="preserve">FBCF </t>
  </si>
  <si>
    <t>ménages</t>
  </si>
  <si>
    <t>FBCF</t>
  </si>
  <si>
    <t xml:space="preserve"> IFEA</t>
  </si>
  <si>
    <t>totale</t>
  </si>
  <si>
    <t>stocks</t>
  </si>
  <si>
    <t xml:space="preserve">ACTIVITÉS FINANCIÈRES </t>
  </si>
  <si>
    <t>varia.</t>
  </si>
  <si>
    <t>résidentiel neuf</t>
  </si>
  <si>
    <t>amélioration entretien</t>
  </si>
  <si>
    <t>total</t>
  </si>
  <si>
    <t>residentiel AE</t>
  </si>
  <si>
    <t>non résidentiel AE</t>
  </si>
  <si>
    <t>T23 - Les acquisitions de logements et les travaux</t>
  </si>
  <si>
    <t>Résidences principales</t>
  </si>
  <si>
    <t>R.S.</t>
  </si>
  <si>
    <t>Total</t>
  </si>
  <si>
    <t>Locaux</t>
  </si>
  <si>
    <t>Année 2021 (en millions d'euros)</t>
  </si>
  <si>
    <t>Propriétaires occupants</t>
  </si>
  <si>
    <t xml:space="preserve">Bailleurs </t>
  </si>
  <si>
    <t>logements</t>
  </si>
  <si>
    <t>d'héber-</t>
  </si>
  <si>
    <t>accédants</t>
  </si>
  <si>
    <t xml:space="preserve"> non accédants</t>
  </si>
  <si>
    <t xml:space="preserve">Ensemble </t>
  </si>
  <si>
    <t>personnes physiques</t>
  </si>
  <si>
    <t xml:space="preserve"> HLM</t>
  </si>
  <si>
    <t>autres  bailleurs sociaux</t>
  </si>
  <si>
    <t>autres personnes morales</t>
  </si>
  <si>
    <t>Ensemble</t>
  </si>
  <si>
    <t>ordinaires</t>
  </si>
  <si>
    <t>gement</t>
  </si>
  <si>
    <t>23.1 LOGEMENTS NEUFS</t>
  </si>
  <si>
    <t>23.11 bâtiments hors terrain</t>
  </si>
  <si>
    <t>23.12 terrains d'assise</t>
  </si>
  <si>
    <t>23.13 frais relatifs aux logements et aux terrains</t>
  </si>
  <si>
    <t>23.14 droits de mutation relatifs aux logements et aux terrains</t>
  </si>
  <si>
    <t>23.2 TRAVAUX SUR IMMEUBLES EXISTANTS (1)</t>
  </si>
  <si>
    <t>23.3 ACQUISITIONS DE LOGEMENTS D'OCCASION</t>
  </si>
  <si>
    <t>23.31 montant des acquisitions hors terrains</t>
  </si>
  <si>
    <t>23.32 montant des terrains dans les acquisitions</t>
  </si>
  <si>
    <t xml:space="preserve">23.33 frais relatifs aux logements et aux terrains </t>
  </si>
  <si>
    <t>23.34 droits de mutation relatifs aux logements et aux terrains</t>
  </si>
  <si>
    <t>TOTAL DES ACQUISITIONS ET DES TRAVAUX</t>
  </si>
  <si>
    <r>
      <t>Source</t>
    </r>
    <r>
      <rPr>
        <i/>
        <sz val="8"/>
        <rFont val="Arial"/>
        <family val="2"/>
      </rPr>
      <t xml:space="preserve"> : Compte du Logement</t>
    </r>
  </si>
  <si>
    <t>(1) il s'agit des travaux d'amélioration et de gros entretien (y compris frais et droits liés).</t>
  </si>
  <si>
    <t>Sommaire</t>
  </si>
  <si>
    <t>Tableaux des emplois au prix d'achat [naio_10_cp16]</t>
  </si>
  <si>
    <t>Dernière mise à jour</t>
  </si>
  <si>
    <t>Date d'extraction</t>
  </si>
  <si>
    <t>Source des données</t>
  </si>
  <si>
    <t>Eurostat</t>
  </si>
  <si>
    <t>UNIT</t>
  </si>
  <si>
    <t>Millions d'euros</t>
  </si>
  <si>
    <t>STK_FLOW</t>
  </si>
  <si>
    <t>PROD_NA</t>
  </si>
  <si>
    <t>Constructions et travaux de construction</t>
  </si>
  <si>
    <t>INDUSE</t>
  </si>
  <si>
    <t>Construction</t>
  </si>
  <si>
    <t>Formation brute de capital fixe</t>
  </si>
  <si>
    <t>Total hors case diagonale</t>
  </si>
  <si>
    <t>ratio hors case diagnonale</t>
  </si>
  <si>
    <t>part case diagonale</t>
  </si>
  <si>
    <t>Belgique</t>
  </si>
  <si>
    <t>Tchéquie</t>
  </si>
  <si>
    <t>Danemark</t>
  </si>
  <si>
    <t>Allemagne (jusqu'en 1990, ancien territoire de la RFA)</t>
  </si>
  <si>
    <t>Allemagne</t>
  </si>
  <si>
    <t>Estonie</t>
  </si>
  <si>
    <t>Irlande</t>
  </si>
  <si>
    <t>Grèce</t>
  </si>
  <si>
    <t>Espagne</t>
  </si>
  <si>
    <t>France</t>
  </si>
  <si>
    <t>Croatie</t>
  </si>
  <si>
    <t>France rectifié</t>
  </si>
  <si>
    <t>Italie</t>
  </si>
  <si>
    <t>Chypre</t>
  </si>
  <si>
    <t>Lettonie</t>
  </si>
  <si>
    <t>Luxembourg</t>
  </si>
  <si>
    <t>Hongrie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</si>
  <si>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</si>
  <si>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</si>
  <si>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</si>
  <si>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</si>
  <si>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</si>
  <si>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</si>
  <si>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</si>
  <si>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</si>
  <si>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</si>
  <si>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Royaume-Uni</t>
  </si>
  <si>
    <t>totalpays</t>
  </si>
  <si>
    <t>total pays</t>
  </si>
  <si>
    <t>non disponible</t>
  </si>
  <si>
    <t>Total pays</t>
  </si>
  <si>
    <t>Roy.-Uni</t>
  </si>
  <si>
    <t>France pr.</t>
  </si>
  <si>
    <t>États-Unis</t>
  </si>
  <si>
    <t>Canada</t>
  </si>
  <si>
    <t>Source : Eurostat, OCDE et calculs pour la France proposée (France pr.)</t>
  </si>
  <si>
    <t>Source : Eurostat</t>
  </si>
  <si>
    <t>USA</t>
  </si>
  <si>
    <t>Ensemble de données : 40. Emplois aux prix d'acquisition</t>
  </si>
  <si>
    <t>Pays</t>
  </si>
  <si>
    <t>Flux</t>
  </si>
  <si>
    <t>Mesure</t>
  </si>
  <si>
    <t>Prix courants</t>
  </si>
  <si>
    <t>Année</t>
  </si>
  <si>
    <t>2018</t>
  </si>
  <si>
    <t>Unité</t>
  </si>
  <si>
    <t>Dollar canadien, Millions</t>
  </si>
  <si>
    <t>Transaction</t>
  </si>
  <si>
    <t xml:space="preserve">P2, Culture et production animale, chasse et services annexes </t>
  </si>
  <si>
    <t xml:space="preserve">P2, Sylviculture et exploitation forestière  </t>
  </si>
  <si>
    <t>P2, Pêche et aquaculture</t>
  </si>
  <si>
    <t xml:space="preserve">P2, Industries extractives </t>
  </si>
  <si>
    <t>P2, Fab. de denrées alimentaires, boissons et produits à base de tabac</t>
  </si>
  <si>
    <t>P2, Fab. de textiles, industrie de l’habillement, du cuir &amp; de la chaussure</t>
  </si>
  <si>
    <t xml:space="preserve">P2, Travail du bois et fabrication d'articles en bois et en liège, etc.  </t>
  </si>
  <si>
    <t xml:space="preserve">P2, Industrie du papier et du carton </t>
  </si>
  <si>
    <t>P2, Imprimerie et reproduction d'enregistrements</t>
  </si>
  <si>
    <t>P2, Cokéfaction et raffinage</t>
  </si>
  <si>
    <t>P2, Industrie chimique</t>
  </si>
  <si>
    <t>P2, Industrie pharmaceutique</t>
  </si>
  <si>
    <t xml:space="preserve">P2, Fabrication de produits en caoutchouc et en plastique  </t>
  </si>
  <si>
    <t xml:space="preserve">P2, Fabrication d'autres produits minéraux non métalliques </t>
  </si>
  <si>
    <t xml:space="preserve">P2, Métallurgie </t>
  </si>
  <si>
    <t>P2, Fabrication de produits métalliques, sauf machines et équipements</t>
  </si>
  <si>
    <t>P2, Fabrication de produits informatiques, électroniques et optiques</t>
  </si>
  <si>
    <t>P2, Fabrication d'équipements électriques</t>
  </si>
  <si>
    <t>P2, Fabrication de machines et équipements n.c.a.</t>
  </si>
  <si>
    <t>P2, Industrie automobile</t>
  </si>
  <si>
    <t xml:space="preserve">P2, Fabrication d'autres matériels de transport </t>
  </si>
  <si>
    <t xml:space="preserve">P2, Autres industries manufacturières n.c.a. </t>
  </si>
  <si>
    <t>P2, Réparation et installation de machines et d'équipements</t>
  </si>
  <si>
    <t>P2, Prod. et distrib. d'électricité, de gaz, de vapeur et d'air conditionné</t>
  </si>
  <si>
    <t>P2, Captage, traitement et distribution d'eau</t>
  </si>
  <si>
    <t>P2, Collecte et traitement des eaux usées, des déchets et dépollution</t>
  </si>
  <si>
    <t>P2, Construction</t>
  </si>
  <si>
    <t xml:space="preserve">P2, Commerce et réparation d'automobiles et de motocycles  </t>
  </si>
  <si>
    <t>P2, Commerce de gros, à l'exception des automobiles et des motocycles</t>
  </si>
  <si>
    <t xml:space="preserve">P2, Commerce de détail, à l'exception des automobiles et des motocycles  </t>
  </si>
  <si>
    <t xml:space="preserve">P2, Transports terrestres et transport par conduites </t>
  </si>
  <si>
    <t>P2, Transports par eau</t>
  </si>
  <si>
    <t>P2, Transports aériens</t>
  </si>
  <si>
    <t xml:space="preserve">P2, Entreposage et services auxiliaires des transports  </t>
  </si>
  <si>
    <t>P2, Activités de poste et de courrier</t>
  </si>
  <si>
    <t xml:space="preserve">P2, Hébergement et restauration </t>
  </si>
  <si>
    <t xml:space="preserve">P2, Édition  </t>
  </si>
  <si>
    <t>P2, Audiovisuel et diffusion</t>
  </si>
  <si>
    <t>P2, Télécommunications</t>
  </si>
  <si>
    <t xml:space="preserve">P2, Activités informatiques , services d'information </t>
  </si>
  <si>
    <t>P2, Activités des services financiers, hors assurance &amp; caisses de retraite</t>
  </si>
  <si>
    <t>P2, Assurance</t>
  </si>
  <si>
    <t>P2, Activités auxiliaires de services financiers et d'assurance</t>
  </si>
  <si>
    <t>P2, Loyers imputés des logements occupés par leur propriétaire</t>
  </si>
  <si>
    <t>P2, Activités immobilières à l'exclusion des loyers imputés</t>
  </si>
  <si>
    <t>P2, Activités juridiques, comptables, de gestion, activ. des sièges sociaux</t>
  </si>
  <si>
    <t>P2, Activités d'architecture &amp; d'ingénierie, contrôle &amp; analyses techniques</t>
  </si>
  <si>
    <t>P2, Recherche-développement scientifique</t>
  </si>
  <si>
    <t>P2, Publicité et études de marché</t>
  </si>
  <si>
    <t>P2, Autres activités spécialisées, scientifiques, techn., act. vétérinaires</t>
  </si>
  <si>
    <t xml:space="preserve">P2, Activités de location et location-bail   </t>
  </si>
  <si>
    <t xml:space="preserve">P2, Activités liées à l'emploi  </t>
  </si>
  <si>
    <t>P2, Activités des agences de voy., voyagistes, services de réservation etc.</t>
  </si>
  <si>
    <t>P2, Sécurité , services relatifs aux bâtiments, autres activités de soutien</t>
  </si>
  <si>
    <t>P2, Administration publique</t>
  </si>
  <si>
    <t>P2, Enseignement</t>
  </si>
  <si>
    <t xml:space="preserve">P2, Activités pour la santé humaine  </t>
  </si>
  <si>
    <t>P2, Hébergement médico-social et social et action sociale sans hébergement</t>
  </si>
  <si>
    <t>P2, Arts, divertissement et musées</t>
  </si>
  <si>
    <t xml:space="preserve">P2, Activités sportives, récréatives et de loisirs   </t>
  </si>
  <si>
    <t xml:space="preserve">P2, Activités des organisations associatives </t>
  </si>
  <si>
    <t>P2, Réparation d'ordinateurs et de biens personnels et domestiques</t>
  </si>
  <si>
    <t xml:space="preserve">P2, Autres services personnels  </t>
  </si>
  <si>
    <t>P2, Activités extra-territoriales</t>
  </si>
  <si>
    <t xml:space="preserve">Dépense de consommation finale des ménages, concept intérieur </t>
  </si>
  <si>
    <t xml:space="preserve">Dépense de consommation finale des ISBL </t>
  </si>
  <si>
    <t>Dépense de consommation finale des adminstrations publiques</t>
  </si>
  <si>
    <t xml:space="preserve">Acquisition moins cession d'objets de valeur </t>
  </si>
  <si>
    <t xml:space="preserve">Exportations </t>
  </si>
  <si>
    <t>dont : Achats sur le territoire national par des non-résidents</t>
  </si>
  <si>
    <t>Produit</t>
  </si>
  <si>
    <t/>
  </si>
  <si>
    <t>Produits de l'agriculture et de la chasse et services annexes</t>
  </si>
  <si>
    <t>..</t>
  </si>
  <si>
    <t>Produits sylvicoles et services annexes</t>
  </si>
  <si>
    <t>Produits de la pêche et de l'aquaculture , services de soutien à la pêche</t>
  </si>
  <si>
    <t>Produits des industries extractives</t>
  </si>
  <si>
    <t>Produits des industries alimentaires, boissons, produits à base de tabac</t>
  </si>
  <si>
    <t>Produits de l'indus. textile, articles d'habillement, cuir &amp; art. en cuir</t>
  </si>
  <si>
    <t>Bois, art. en bois &amp; liège, sauf meubles , art. de vannerie &amp; de sparterie</t>
  </si>
  <si>
    <t>Papier et carton</t>
  </si>
  <si>
    <t>Travaux d'impression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</si>
  <si>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</si>
  <si>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</si>
  <si>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</si>
  <si>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</si>
  <si>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</si>
  <si>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</si>
  <si>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l'exclusion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</si>
  <si>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</si>
  <si>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</si>
  <si>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</si>
  <si>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</si>
  <si>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</si>
  <si>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Meubles, autres produits manufacturés</t>
  </si>
  <si>
    <t>Réparation et installation de machines et d'équipements</t>
  </si>
  <si>
    <t>Électricité, gaz, vapeur et air conditionné</t>
  </si>
  <si>
    <t>Eau naturelle , traitement et distribution d'eau</t>
  </si>
  <si>
    <t>Collecte et traitement des eaux usées, des déchets, boues d'épuration, etc.</t>
  </si>
  <si>
    <t>Commerce et réparation d'automobiles et de motocycles</t>
  </si>
  <si>
    <t>Commerce de gros, à l'exclusion des automobiles et des motocycles</t>
  </si>
  <si>
    <t>Commerce de détail, à l'exclusion des automobiles et des motocycles</t>
  </si>
  <si>
    <t>Transports terrestres et transports par conduites</t>
  </si>
  <si>
    <t>Transport par eau</t>
  </si>
  <si>
    <t>Transports aériens</t>
  </si>
  <si>
    <t>Entreposage et services auxiliaires des transports</t>
  </si>
  <si>
    <t>Services de poste et de courrier</t>
  </si>
  <si>
    <t>Services d'hébergement et de restauration</t>
  </si>
  <si>
    <t>Édition</t>
  </si>
  <si>
    <t>Audiovisuel et diffusion</t>
  </si>
  <si>
    <t>Services de télécommunications</t>
  </si>
  <si>
    <t>Programmation, conseil et autres act. informatiques, services d'information</t>
  </si>
  <si>
    <t>Services financiers, hors assurances et caisses de retraite</t>
  </si>
  <si>
    <t>Services d'assurance, de réassurance et retraite, sauf S.S. obligatoire</t>
  </si>
  <si>
    <t>Services auxiliaires aux services financiers et aux assurances</t>
  </si>
  <si>
    <t>Loyers imputés des logements occupés par leur propriétaire</t>
  </si>
  <si>
    <t>Services immobiliers à l'exclusion des loyers imputés</t>
  </si>
  <si>
    <t>Services juridiques, comptables, des sièges sociaux, de conseil en gestion</t>
  </si>
  <si>
    <t>Services d'architecture &amp; d'ingénierie, serv. de contrôle &amp; analyses techn.</t>
  </si>
  <si>
    <t>Services de recherche et développement scientifique</t>
  </si>
  <si>
    <t>Services de publicité et d'études de marché</t>
  </si>
  <si>
    <t>Autres services spécialisés, scientifiques, techniques et vétérinaires</t>
  </si>
  <si>
    <t>Location et location-bail</t>
  </si>
  <si>
    <t>Services liés à l'emploi</t>
  </si>
  <si>
    <t>Services des agences de voyage, des voyagistes &amp;autres serv. de réservation</t>
  </si>
  <si>
    <t>Services de sécurité et d'enquête, relatifs aux bâtiments, de soutien</t>
  </si>
  <si>
    <t>Services d'admin. publique et de défense , services de S.S. obligatoire</t>
  </si>
  <si>
    <t>Services de l'enseignement</t>
  </si>
  <si>
    <t>Services de santé humaine</t>
  </si>
  <si>
    <t>Services d'hébergement médico-social et social, d'action sociale</t>
  </si>
  <si>
    <t>Services créatifs, biblioth., musées &amp; autres serv. cult., jeux de hasard</t>
  </si>
  <si>
    <t>Services sportifs, récréatifs et de loisirs</t>
  </si>
  <si>
    <t>Services fournis par des organisations associatives</t>
  </si>
  <si>
    <t>Services de réparation d'ordinateurs et de biens personnels et domestiques</t>
  </si>
  <si>
    <t>Autres services personnels</t>
  </si>
  <si>
    <t>Services extra-territoriaux</t>
  </si>
  <si>
    <t>Produits non spécifiés</t>
  </si>
  <si>
    <t>Dollar des États-Unis, Millions</t>
  </si>
  <si>
    <t>total CI</t>
  </si>
  <si>
    <t xml:space="preserve"> </t>
  </si>
  <si>
    <t>- France (2021)</t>
  </si>
  <si>
    <t>- France (2017)</t>
  </si>
  <si>
    <t>CFM</t>
  </si>
  <si>
    <t>SDES</t>
  </si>
  <si>
    <t>- 28 pays UE (2017)</t>
  </si>
  <si>
    <t>- Italie (2017)</t>
  </si>
  <si>
    <t>- Allemagne (2017)</t>
  </si>
  <si>
    <t>- Espagne (2017)</t>
  </si>
  <si>
    <t>non residentiel neuf</t>
  </si>
  <si>
    <t>résidence principale + secondaire</t>
  </si>
  <si>
    <t>PE</t>
  </si>
  <si>
    <t>ratio1 PE/(PE+GE) (résidentiel + non résidentiel)</t>
  </si>
  <si>
    <t>ratio1 total 3 produits PE / (PE+GE)</t>
  </si>
  <si>
    <t>TOTAL FBCF =1+2</t>
  </si>
  <si>
    <t>Neuf (1)</t>
  </si>
  <si>
    <t>grand entretien (2)</t>
  </si>
  <si>
    <t>résidentiel FBCF = 1+2</t>
  </si>
  <si>
    <t>petit entretien (3)</t>
  </si>
  <si>
    <t>non résidentiel FBCF = 1+2</t>
  </si>
  <si>
    <t>travaux publics FBCF = 1+2</t>
  </si>
  <si>
    <t>- Belgique (2017)</t>
  </si>
  <si>
    <t>- Pays-Bas (2017)</t>
  </si>
  <si>
    <t>C1+CI4</t>
  </si>
  <si>
    <t>résidentiel ménages neuf</t>
  </si>
  <si>
    <t>NR GE</t>
  </si>
  <si>
    <t>GE</t>
  </si>
  <si>
    <t>Neuf</t>
  </si>
  <si>
    <t>- Royaume-Uni (2017)</t>
  </si>
  <si>
    <t>- U.S.A.(2018)</t>
  </si>
  <si>
    <t xml:space="preserve">Insee </t>
  </si>
  <si>
    <t>- Suède (2017)</t>
  </si>
  <si>
    <t xml:space="preserve">- France idéal (base 2020) </t>
  </si>
  <si>
    <t>ratio2 part/(CI+FBCF+CFM)</t>
  </si>
  <si>
    <t>ratio2 part/(CI hors diagonale+FBCF+CFM)</t>
  </si>
  <si>
    <t>2/ COMPTES DES PAYS (Base 2010 ou 2014)</t>
  </si>
  <si>
    <t>1/ SOURCES FRANCAISES</t>
  </si>
  <si>
    <t>Source : Insee, Eurostat</t>
  </si>
  <si>
    <t xml:space="preserve">                                                 Tableau des semplois intermédiaires (T.E.I.)</t>
  </si>
  <si>
    <t>NR neuf</t>
  </si>
  <si>
    <t>FIN.</t>
  </si>
  <si>
    <t>IMM.</t>
  </si>
  <si>
    <t>ADM.</t>
  </si>
  <si>
    <t>ENS.</t>
  </si>
  <si>
    <t>SANTÉ</t>
  </si>
  <si>
    <t>ARTS</t>
  </si>
  <si>
    <t>AGR.</t>
  </si>
  <si>
    <t>BTP</t>
  </si>
  <si>
    <t>COM.</t>
  </si>
  <si>
    <t>….</t>
  </si>
  <si>
    <t xml:space="preserve">    Emplois finals hors variations de stocks et exportations</t>
  </si>
  <si>
    <t xml:space="preserve"> - CI1</t>
  </si>
  <si>
    <t xml:space="preserve"> - échanges internes</t>
  </si>
  <si>
    <t xml:space="preserve">   'PE çCI1+CI4+CFM</t>
  </si>
  <si>
    <t>SERV E</t>
  </si>
  <si>
    <t>SERV P</t>
  </si>
  <si>
    <t>SOCI.</t>
  </si>
  <si>
    <t>SD 2021 - 5eTbis - b2014</t>
  </si>
  <si>
    <t>REVU</t>
  </si>
  <si>
    <t>Indicateurs  ok</t>
  </si>
  <si>
    <t>IVAL</t>
  </si>
  <si>
    <t>43Z</t>
  </si>
  <si>
    <t>DEF 2021</t>
  </si>
  <si>
    <t>SD 2021</t>
  </si>
  <si>
    <t>FNTP tvx réalisés F43Z</t>
  </si>
  <si>
    <t>Bâtiment</t>
  </si>
  <si>
    <t>Val</t>
  </si>
  <si>
    <t>Ival</t>
  </si>
  <si>
    <t>Iprix</t>
  </si>
  <si>
    <t>Ivol</t>
  </si>
  <si>
    <t>Vol</t>
  </si>
  <si>
    <t>ICA F43Z</t>
  </si>
  <si>
    <t>Bâtiment résidentiel</t>
  </si>
  <si>
    <t>ESANE sect 43Z SD</t>
  </si>
  <si>
    <t>Travaux sur bâtiments neufs</t>
  </si>
  <si>
    <t>ICC</t>
  </si>
  <si>
    <t>Ménages (hors var stocks)</t>
  </si>
  <si>
    <t>IPEA</t>
  </si>
  <si>
    <t>Pers. Morales privées</t>
  </si>
  <si>
    <t>ICP - 43Z</t>
  </si>
  <si>
    <t>ICP Bât - 43Z</t>
  </si>
  <si>
    <t xml:space="preserve">     Individuel</t>
  </si>
  <si>
    <t>ICP - 43BTC</t>
  </si>
  <si>
    <t>ICP - 43BTR</t>
  </si>
  <si>
    <t xml:space="preserve">     Collectif</t>
  </si>
  <si>
    <t>ICP TP- 43Z</t>
  </si>
  <si>
    <t>ICP-TP(équiv TP01)</t>
  </si>
  <si>
    <t>Prix conso (IPC)</t>
  </si>
  <si>
    <t>Travaux sur bâtiments existants</t>
  </si>
  <si>
    <t>Sources utilisées</t>
  </si>
  <si>
    <t>PE/E Menages</t>
  </si>
  <si>
    <t>vu SD21</t>
  </si>
  <si>
    <t xml:space="preserve">     Petits travaux entretien</t>
  </si>
  <si>
    <t>IVOL</t>
  </si>
  <si>
    <t xml:space="preserve">     Gros travaux amélioration</t>
  </si>
  <si>
    <t>logt SDeS</t>
  </si>
  <si>
    <t>indiv</t>
  </si>
  <si>
    <t>coll</t>
  </si>
  <si>
    <t>tot</t>
  </si>
  <si>
    <t>px indiv Def20</t>
  </si>
  <si>
    <t>SD19</t>
  </si>
  <si>
    <t>*  estimation en surface produite</t>
  </si>
  <si>
    <t>Cible pr</t>
  </si>
  <si>
    <t>SD20</t>
  </si>
  <si>
    <t>logt neuf</t>
  </si>
  <si>
    <t>DEF20</t>
  </si>
  <si>
    <t>SD21</t>
  </si>
  <si>
    <t>Évolution de la FBCF selon la SI (SDeS)</t>
  </si>
  <si>
    <t>SI</t>
  </si>
  <si>
    <t>type logt</t>
  </si>
  <si>
    <t>VAL 19</t>
  </si>
  <si>
    <t>VAL 20</t>
  </si>
  <si>
    <t>VAL 21</t>
  </si>
  <si>
    <t>IVAL 20_19</t>
  </si>
  <si>
    <t>IVAL 21_20</t>
  </si>
  <si>
    <t>logement Neuf</t>
  </si>
  <si>
    <t>Trvx sur logt</t>
  </si>
  <si>
    <t>logement</t>
  </si>
  <si>
    <t>PE/E PM</t>
  </si>
  <si>
    <t>PM</t>
  </si>
  <si>
    <t>PE/E Apu</t>
  </si>
  <si>
    <t xml:space="preserve">FFB - Bilan 2021 </t>
  </si>
  <si>
    <t>FFB</t>
  </si>
  <si>
    <t>Total résidentiel</t>
  </si>
  <si>
    <t>bât non résid</t>
  </si>
  <si>
    <t>BR neuf</t>
  </si>
  <si>
    <t>NEUF</t>
  </si>
  <si>
    <t>BNR neuf</t>
  </si>
  <si>
    <t xml:space="preserve"> BR EA</t>
  </si>
  <si>
    <t xml:space="preserve">BNR EA </t>
  </si>
  <si>
    <t>Bât EA</t>
  </si>
  <si>
    <t>Emploi : +36100</t>
  </si>
  <si>
    <t>Equivalents surfaces en m² valorisés (surface commencee)</t>
  </si>
  <si>
    <t>SDeS</t>
  </si>
  <si>
    <t>IVOL 17/16</t>
  </si>
  <si>
    <t>IVOL 18/17</t>
  </si>
  <si>
    <t>IVOL 19/18</t>
  </si>
  <si>
    <t>IVOL 20/19</t>
  </si>
  <si>
    <t>MOA privée</t>
  </si>
  <si>
    <t>Bâtiment non résidentiel</t>
  </si>
  <si>
    <t>MOA public</t>
  </si>
  <si>
    <t>MOA tot</t>
  </si>
  <si>
    <t>Évolution du volume d'activité d'entretien-rénovation</t>
  </si>
  <si>
    <t>CAPEB</t>
  </si>
  <si>
    <t>taux de croissance en %</t>
  </si>
  <si>
    <t>CAPEB croissance de l’activité en 2018 : Neuf + AE : +2.5% , Neuf +5%, AE +1%</t>
  </si>
  <si>
    <t>2021/2020 (volume)</t>
  </si>
  <si>
    <t>2021/2019 (volume)</t>
  </si>
  <si>
    <t>entr/Amélioration</t>
  </si>
  <si>
    <t>activité globale</t>
  </si>
  <si>
    <t>Cible pr bât EA</t>
  </si>
  <si>
    <t>SD 2017</t>
  </si>
  <si>
    <t xml:space="preserve">CAPEB 2017 : croissance de l’activité Neuf + AE : +2,5 % en 2017, +1,5 % en 2016 </t>
  </si>
  <si>
    <t>Source : publi 4eT 2017 p2 tab EA (année 2016)</t>
  </si>
  <si>
    <t>Entretien rénovation</t>
  </si>
  <si>
    <t>Acquisitions de logts et trvx pr logts (rapport SdeS) revu nov2019</t>
  </si>
  <si>
    <t>Total non résidentiel</t>
  </si>
  <si>
    <t>Mds€</t>
  </si>
  <si>
    <t>IVAL 16-17</t>
  </si>
  <si>
    <t>IVAL 17-18</t>
  </si>
  <si>
    <t>Acqu. logts neufs (hors terrains) hors frais</t>
  </si>
  <si>
    <t>Acqu. logts occasions</t>
  </si>
  <si>
    <t>Total bâtiment</t>
  </si>
  <si>
    <t>tot acqu.</t>
  </si>
  <si>
    <t>trvx immeubles existants</t>
  </si>
  <si>
    <t xml:space="preserve">Source : rapport annuel SDeS </t>
  </si>
  <si>
    <t>vu SD 20</t>
  </si>
  <si>
    <t>TP</t>
  </si>
  <si>
    <t>Cible pr TP</t>
  </si>
  <si>
    <t>Travaux publics métropole</t>
  </si>
  <si>
    <t>Travaux publics
métropole 42Z (2019/2018)</t>
  </si>
  <si>
    <t>Travaux publics métropole 43Z (2019/2018)</t>
  </si>
  <si>
    <t>Génie civil 43Z</t>
  </si>
  <si>
    <t>FNTP Tvx réalisés</t>
  </si>
  <si>
    <t>Val/prix</t>
  </si>
  <si>
    <t>iVal</t>
  </si>
  <si>
    <t>Prix</t>
  </si>
  <si>
    <t>IVal</t>
  </si>
  <si>
    <t>2019-2020</t>
  </si>
  <si>
    <t xml:space="preserve">source : recueil statistiques annuelles 2021 (nov 2022) </t>
  </si>
  <si>
    <t>https://www.fntp.fr/sites/default/files/data/recueil_statistiques_2021_0.pdf</t>
  </si>
  <si>
    <t>Entretien/amélioration</t>
  </si>
  <si>
    <t>Variation de l'activité selon le maître d'ouvrage (Fntp)</t>
  </si>
  <si>
    <t>vu SD 21</t>
  </si>
  <si>
    <t>IVAL18-17</t>
  </si>
  <si>
    <t>IVAL19-18</t>
  </si>
  <si>
    <t>IVAL20-19</t>
  </si>
  <si>
    <t>IVAL21-20</t>
  </si>
  <si>
    <t>val20</t>
  </si>
  <si>
    <t>val21</t>
  </si>
  <si>
    <t>Secteur public</t>
  </si>
  <si>
    <t>TP EA</t>
  </si>
  <si>
    <t>Secteur privé</t>
  </si>
  <si>
    <t>TP Neuf</t>
  </si>
  <si>
    <t xml:space="preserve">  -dont Particuliers</t>
  </si>
  <si>
    <t>Total génie civil hors ss-ttce</t>
  </si>
  <si>
    <t>Variation de l'activité selon la nature des travaux</t>
  </si>
  <si>
    <t>IVAL 17</t>
  </si>
  <si>
    <t>IVAL 17-16</t>
  </si>
  <si>
    <t>IVAL 18-17</t>
  </si>
  <si>
    <t>IVAL 20-19</t>
  </si>
  <si>
    <t>Trvx neufs</t>
  </si>
  <si>
    <t>Entr-améliorat°</t>
  </si>
  <si>
    <t>Total TP</t>
  </si>
  <si>
    <t>Total trvx spécialisés de génie civil (43Z)</t>
  </si>
  <si>
    <t>Total trvx non spécialisés de génie civil (42Z)</t>
  </si>
  <si>
    <t>Total génie civil</t>
  </si>
  <si>
    <t>Total Bât + TP 43Z</t>
  </si>
  <si>
    <t>FNTP</t>
  </si>
  <si>
    <t>IVol 2020/19</t>
  </si>
  <si>
    <t>Val=Vol x prix</t>
  </si>
  <si>
    <t>vu Def 20</t>
  </si>
  <si>
    <t>H travaillées</t>
  </si>
  <si>
    <t>source : bulletin conjoncture  -  MENSUEL (sur fntp.fr / fev N+1 n°239)</t>
  </si>
  <si>
    <t>H travaillées ouvr perm</t>
  </si>
  <si>
    <t>Total neuf</t>
  </si>
  <si>
    <t>Tvx réalisés</t>
  </si>
  <si>
    <t>Prix : ICP-TP 43Z</t>
  </si>
  <si>
    <t>Effectifs ouvr perm</t>
  </si>
  <si>
    <t xml:space="preserve">Ind marchés conclus </t>
  </si>
  <si>
    <t>Total travaux amélioration</t>
  </si>
  <si>
    <t>CI1 + CF ménages</t>
  </si>
  <si>
    <t>Ligne23</t>
  </si>
  <si>
    <t>Petit entr. BR existant indiv.</t>
  </si>
  <si>
    <t>cibles Def 20</t>
  </si>
  <si>
    <t>cibles pour sd21</t>
  </si>
  <si>
    <t>Ligne27</t>
  </si>
  <si>
    <t>Petit entr. BR existant coll.</t>
  </si>
  <si>
    <r>
      <t xml:space="preserve">Total neuf + amélioration  </t>
    </r>
    <r>
      <rPr>
        <b/>
        <sz val="10"/>
        <color indexed="8"/>
        <rFont val="Arial"/>
        <family val="2"/>
      </rPr>
      <t>(FBCF)</t>
    </r>
  </si>
  <si>
    <t>Ligne71</t>
  </si>
  <si>
    <t>petit entr. TP</t>
  </si>
  <si>
    <t>Ménages (yc stocks = ligne ERE)</t>
  </si>
  <si>
    <t>Montant total</t>
  </si>
  <si>
    <t>CI4 APU</t>
  </si>
  <si>
    <t>Total petit entretien (Ci &amp; CF)</t>
  </si>
  <si>
    <t>Srce cible</t>
  </si>
  <si>
    <t>IVAL ref</t>
  </si>
  <si>
    <t>IVOL ref</t>
  </si>
  <si>
    <t>Écart</t>
  </si>
  <si>
    <t>Ligne33</t>
  </si>
  <si>
    <t>petit entr. BR existant coll.</t>
  </si>
  <si>
    <t>Ligne54</t>
  </si>
  <si>
    <t>petit entr. BNR existant</t>
  </si>
  <si>
    <t>Ligne77</t>
  </si>
  <si>
    <t>FNTP neuf/entr</t>
  </si>
  <si>
    <t>Total ss-traitance</t>
  </si>
  <si>
    <t>CI1 PMP</t>
  </si>
  <si>
    <t>Source réf.</t>
  </si>
  <si>
    <t>IVAL réf.</t>
  </si>
  <si>
    <t>IVOL réf.</t>
  </si>
  <si>
    <t>Total 43Z yc ss-traitance + var stocks</t>
  </si>
  <si>
    <t>Ligne30</t>
  </si>
  <si>
    <t>petit entr. BR exist. coll.</t>
  </si>
  <si>
    <t>Ménages (yc stocks)</t>
  </si>
  <si>
    <t>Ligne51</t>
  </si>
  <si>
    <t>petit entr. BNR exist.</t>
  </si>
  <si>
    <t>Ligne74</t>
  </si>
  <si>
    <t>Variations de stocks</t>
  </si>
  <si>
    <t>Montants à reporter ds le fichier pr CENF</t>
  </si>
  <si>
    <t>Prix moyen</t>
  </si>
  <si>
    <t>FBCF APU</t>
  </si>
  <si>
    <t>SD2017</t>
  </si>
  <si>
    <t>Répart FBCF en BR/ BNR / TP</t>
  </si>
  <si>
    <t>Prix FBCF ménages</t>
  </si>
  <si>
    <t xml:space="preserve">Prix FBCF pers morales privées </t>
  </si>
  <si>
    <t>Ligne14</t>
  </si>
  <si>
    <t>BR neuf coll.</t>
  </si>
  <si>
    <t>CSL-SDeS</t>
  </si>
  <si>
    <t>BR</t>
  </si>
  <si>
    <t>Prix FBCF APU</t>
  </si>
  <si>
    <t>Ligne34</t>
  </si>
  <si>
    <t>Trvx amélior BR exist.coll.</t>
  </si>
  <si>
    <t>BNR</t>
  </si>
  <si>
    <t>Ligne48</t>
  </si>
  <si>
    <t>FFB bilan moa public</t>
  </si>
  <si>
    <t>Ligne55</t>
  </si>
  <si>
    <t>Trvx amélior. BNR exist.</t>
  </si>
  <si>
    <t>Tot</t>
  </si>
  <si>
    <t>Ligne68</t>
  </si>
  <si>
    <t>TP neuf</t>
  </si>
  <si>
    <t>Ligne78</t>
  </si>
  <si>
    <t>Trvx amélior. TP</t>
  </si>
  <si>
    <t>Tot Pelican</t>
  </si>
  <si>
    <t>FBCF PMP</t>
  </si>
  <si>
    <t>ok</t>
  </si>
  <si>
    <t xml:space="preserve">PMP </t>
  </si>
  <si>
    <t>cible</t>
  </si>
  <si>
    <t>Ligne13</t>
  </si>
  <si>
    <t>Ligne31</t>
  </si>
  <si>
    <t>Trvx amélior BR exist. coll.</t>
  </si>
  <si>
    <t>Ligne47</t>
  </si>
  <si>
    <t>Ligne52</t>
  </si>
  <si>
    <t>Trvx amélior. BNR exist</t>
  </si>
  <si>
    <t>Ligne67</t>
  </si>
  <si>
    <t>PMP</t>
  </si>
  <si>
    <t>Ligne75</t>
  </si>
  <si>
    <t>FBCF SNFEI</t>
  </si>
  <si>
    <t>FBCF PMP hors SNFEI</t>
  </si>
  <si>
    <t>(exogènes)</t>
  </si>
  <si>
    <t>cible snfei</t>
  </si>
  <si>
    <t>FBCF ménages</t>
  </si>
  <si>
    <t xml:space="preserve">Men </t>
  </si>
  <si>
    <t>Ligne10</t>
  </si>
  <si>
    <t>BR neuf indiv.</t>
  </si>
  <si>
    <t>CSL-SDES</t>
  </si>
  <si>
    <t>FBCF mén Neuf 2016=105,2</t>
  </si>
  <si>
    <t>Ligne12</t>
  </si>
  <si>
    <t>Ligne24</t>
  </si>
  <si>
    <t>Trvx amélior. BR exist. indiv.</t>
  </si>
  <si>
    <t>FBCF mén trvx 2016=101,5</t>
  </si>
  <si>
    <t>Ligne28</t>
  </si>
  <si>
    <t>Trvx amélior. BR exist. coll.</t>
  </si>
  <si>
    <t>Men</t>
  </si>
  <si>
    <t>Ligne66</t>
  </si>
  <si>
    <t>Ligne72</t>
  </si>
  <si>
    <t>Var. Stocks</t>
  </si>
  <si>
    <t>FBCF ménages
(prdt BR)</t>
  </si>
  <si>
    <t>CSL-SOeS</t>
  </si>
  <si>
    <t>total BR neuf</t>
  </si>
  <si>
    <t>total BR existant</t>
  </si>
  <si>
    <t xml:space="preserve">FBCF PM +APU
</t>
  </si>
  <si>
    <t>DEF 2017</t>
  </si>
  <si>
    <t>BR neuf coll. APU</t>
  </si>
  <si>
    <t>BR neuf coll. PMP</t>
  </si>
  <si>
    <t>Trvx amélior BR exist.coll. APU</t>
  </si>
  <si>
    <t>Trvx amélior BR exist. coll. PMP</t>
  </si>
  <si>
    <t>total BR</t>
  </si>
  <si>
    <t>BNR neuf APU</t>
  </si>
  <si>
    <t>BNR neuf PMP</t>
  </si>
  <si>
    <t>Trvx amélior. BNR exist. APU</t>
  </si>
  <si>
    <t>Trvx amélior. BNR exist PMP</t>
  </si>
  <si>
    <t>total BNR neuf</t>
  </si>
  <si>
    <t>total BNR existant</t>
  </si>
  <si>
    <t>total BNR</t>
  </si>
  <si>
    <t>TP neuf APU</t>
  </si>
  <si>
    <t>TP neuf PMP</t>
  </si>
  <si>
    <t>Trvx amélior. TP APU</t>
  </si>
  <si>
    <t>Trvx amélior. TP PMP</t>
  </si>
  <si>
    <t>total TP neuf</t>
  </si>
  <si>
    <t>total TP existant</t>
  </si>
  <si>
    <t>ratio FBCF R/NR</t>
  </si>
  <si>
    <t>NEUF / GE</t>
  </si>
  <si>
    <t>ratio Res</t>
  </si>
  <si>
    <t>RE</t>
  </si>
  <si>
    <t>BA</t>
  </si>
  <si>
    <t>BA2014</t>
  </si>
  <si>
    <t>TES</t>
  </si>
  <si>
    <t>DA</t>
  </si>
  <si>
    <t>DA2021</t>
  </si>
  <si>
    <t>ET</t>
  </si>
  <si>
    <t>ET_FINAL</t>
  </si>
  <si>
    <t>TA</t>
  </si>
  <si>
    <t>TAHTD</t>
  </si>
  <si>
    <t>VC</t>
  </si>
  <si>
    <t>VCSD</t>
  </si>
  <si>
    <t>PRNA138G_F41A</t>
  </si>
  <si>
    <t>PRNA138G_F41B</t>
  </si>
  <si>
    <t>PRNA138G_F42Z</t>
  </si>
  <si>
    <t>PRNA138G_F43Z</t>
  </si>
  <si>
    <t>LI</t>
  </si>
  <si>
    <t>Libellé LI</t>
  </si>
  <si>
    <t>OP</t>
  </si>
  <si>
    <t>Libellé OP</t>
  </si>
  <si>
    <t>Libellé SI</t>
  </si>
  <si>
    <t>Libellé PE</t>
  </si>
  <si>
    <t>Libellé CC</t>
  </si>
  <si>
    <t>UNVOL</t>
  </si>
  <si>
    <t>UNVAL</t>
  </si>
  <si>
    <t>L001_a</t>
  </si>
  <si>
    <t>Ventes branches issues d’Esane SNF</t>
  </si>
  <si>
    <t>OPP11</t>
  </si>
  <si>
    <t>Production marchande</t>
  </si>
  <si>
    <t>SIS11</t>
  </si>
  <si>
    <t>Sociétés non financières</t>
  </si>
  <si>
    <t>PE8_11</t>
  </si>
  <si>
    <t>VENTES BRANCHES ISSUES D’ESANE</t>
  </si>
  <si>
    <t>CCPT0</t>
  </si>
  <si>
    <t>Estimation finale</t>
  </si>
  <si>
    <t>L002_a</t>
  </si>
  <si>
    <t>Ventes branches issues d’Esane EI</t>
  </si>
  <si>
    <t>SIS14AA</t>
  </si>
  <si>
    <t>Entreprises individuelles non financières</t>
  </si>
  <si>
    <t>L003_a</t>
  </si>
  <si>
    <t>Ventes branches issues d’Esane SNFEI</t>
  </si>
  <si>
    <t>SIS11X14AA</t>
  </si>
  <si>
    <t>Sociétés et EI non financières</t>
  </si>
  <si>
    <t>L007_a</t>
  </si>
  <si>
    <t>Correction pour fraude SNF</t>
  </si>
  <si>
    <t>PE8_13</t>
  </si>
  <si>
    <t>Correction pour fraude</t>
  </si>
  <si>
    <t>L008_a</t>
  </si>
  <si>
    <t>Correction pour fraude EI</t>
  </si>
  <si>
    <t>L009_a</t>
  </si>
  <si>
    <t>Correction pour fraude SNFEI</t>
  </si>
  <si>
    <t>L010_a</t>
  </si>
  <si>
    <t>Correction pour travail au noir SNF</t>
  </si>
  <si>
    <t>PE8_14</t>
  </si>
  <si>
    <t>Correction pour travail au noir</t>
  </si>
  <si>
    <t>L011_a</t>
  </si>
  <si>
    <t>Correction pour travail au noir EI</t>
  </si>
  <si>
    <t>L012_a</t>
  </si>
  <si>
    <t>Correction pour travail au noir SNFEI</t>
  </si>
  <si>
    <t>L013_a</t>
  </si>
  <si>
    <t>Fraude sur CA calée sur écart TVA SNF</t>
  </si>
  <si>
    <t>PE8_15</t>
  </si>
  <si>
    <t>Fraude sur CA calée sur écart TVA</t>
  </si>
  <si>
    <t>L014_a</t>
  </si>
  <si>
    <t>Fraude sur CA calée sur écart TVA EI</t>
  </si>
  <si>
    <t>L015_a</t>
  </si>
  <si>
    <t>Fraude sur CA calée sur écart TVA SNFEI</t>
  </si>
  <si>
    <t>L016_a</t>
  </si>
  <si>
    <t>Ventes du TABFIN SNF</t>
  </si>
  <si>
    <t>PE7_11</t>
  </si>
  <si>
    <t>VENTES DU TABFIN</t>
  </si>
  <si>
    <t>L017_a</t>
  </si>
  <si>
    <t>Ventes du TABFIN EI</t>
  </si>
  <si>
    <t>L018_a</t>
  </si>
  <si>
    <t>Ventes du TABFIN SNFEI</t>
  </si>
  <si>
    <t>L025_a</t>
  </si>
  <si>
    <t>Ventes totales SNF</t>
  </si>
  <si>
    <t>PE6_11</t>
  </si>
  <si>
    <t>VENTES TOTALES</t>
  </si>
  <si>
    <t>L026_a</t>
  </si>
  <si>
    <t>Ventes totales EI</t>
  </si>
  <si>
    <t>L027_a</t>
  </si>
  <si>
    <t>Ventes totales SNFEI</t>
  </si>
  <si>
    <t>L031_a</t>
  </si>
  <si>
    <t>Coût d’achat des services revendus en l’état SNF</t>
  </si>
  <si>
    <t>PE7_22</t>
  </si>
  <si>
    <t>Coût d achat des services revendus en l’état</t>
  </si>
  <si>
    <t>L032_a</t>
  </si>
  <si>
    <t>Coût d’achat des services revendus en l’état EI</t>
  </si>
  <si>
    <t>L033_a</t>
  </si>
  <si>
    <t>Coût d’achat des services revendus en l’état SNFEI</t>
  </si>
  <si>
    <t>L040_a</t>
  </si>
  <si>
    <t>Total des corrections sur les ventes SNF</t>
  </si>
  <si>
    <t>PE6_12</t>
  </si>
  <si>
    <t>Total des corrections sur les ventes</t>
  </si>
  <si>
    <t>L041_a</t>
  </si>
  <si>
    <t>Total des corrections sur les ventes EI</t>
  </si>
  <si>
    <t>L042_a</t>
  </si>
  <si>
    <t>Total des corrections sur les ventes SNFEI</t>
  </si>
  <si>
    <t>L055_a</t>
  </si>
  <si>
    <t>Production non stockée SNF</t>
  </si>
  <si>
    <t>PE5_11</t>
  </si>
  <si>
    <t>PRODUCTION NON STOCKEE</t>
  </si>
  <si>
    <t>L056_a</t>
  </si>
  <si>
    <t>Production non stockée EI</t>
  </si>
  <si>
    <t>L057_a</t>
  </si>
  <si>
    <t>Production non stockée SNFEI</t>
  </si>
  <si>
    <t>L064_a</t>
  </si>
  <si>
    <t>Production non stockée totale</t>
  </si>
  <si>
    <t>SIS10</t>
  </si>
  <si>
    <t>Total des secteurs résidents</t>
  </si>
  <si>
    <t>L077_a</t>
  </si>
  <si>
    <t>Production marchande SNF prix producteur</t>
  </si>
  <si>
    <t>PE4_11</t>
  </si>
  <si>
    <t>PRODUCTION MARCHANDE PRIX PRODUCTEUR</t>
  </si>
  <si>
    <t>L078_a</t>
  </si>
  <si>
    <t>Production marchande EI prix producteur</t>
  </si>
  <si>
    <t>L079_a</t>
  </si>
  <si>
    <t>Production marchande SNFEI prix producteur</t>
  </si>
  <si>
    <t>L080_a</t>
  </si>
  <si>
    <t>Production marchande totale prix producteur</t>
  </si>
  <si>
    <t>L081_a</t>
  </si>
  <si>
    <t>Production pour usage final propre des ménages</t>
  </si>
  <si>
    <t>OPP12</t>
  </si>
  <si>
    <t>Production pour usage final propre</t>
  </si>
  <si>
    <t>SIS14B</t>
  </si>
  <si>
    <t>Ménages hors entrepreneurs individuels</t>
  </si>
  <si>
    <t>PE4_12</t>
  </si>
  <si>
    <t>Production pour emploi propre</t>
  </si>
  <si>
    <t>L082_a</t>
  </si>
  <si>
    <t>Production pour usage final propre des SNF</t>
  </si>
  <si>
    <t>L083_a</t>
  </si>
  <si>
    <t>Production pour usage final propre des EI</t>
  </si>
  <si>
    <t>L084_a</t>
  </si>
  <si>
    <t>Production pour usage final propre des SNFEI</t>
  </si>
  <si>
    <t>L088_a</t>
  </si>
  <si>
    <t>Production pour usage final propre des APU</t>
  </si>
  <si>
    <t>SIS13</t>
  </si>
  <si>
    <t>Administrations publiques</t>
  </si>
  <si>
    <t>L089_a</t>
  </si>
  <si>
    <t>Production pour usage final propre totale</t>
  </si>
  <si>
    <t>L093_a</t>
  </si>
  <si>
    <t>Production branche prix producteur</t>
  </si>
  <si>
    <t>OPP1</t>
  </si>
  <si>
    <t>Production</t>
  </si>
  <si>
    <t>PE3_11</t>
  </si>
  <si>
    <t>PRODUCTION BRANCHE PRIX PRODUCTEUR</t>
  </si>
  <si>
    <t>L094_a</t>
  </si>
  <si>
    <t>Impôts sur les produits acquittés producteur SNF</t>
  </si>
  <si>
    <t>PE3_12</t>
  </si>
  <si>
    <t>Impôts sur les produits acquittes producteur</t>
  </si>
  <si>
    <t>L095_a</t>
  </si>
  <si>
    <t>Impôts sur les produits acquittés producteur EI</t>
  </si>
  <si>
    <t>L096_a</t>
  </si>
  <si>
    <t>Impôts sur les produits acquittés producteur SNFEI</t>
  </si>
  <si>
    <t>L100_a</t>
  </si>
  <si>
    <t>Impôts sur les produits acquittés producteur totaux</t>
  </si>
  <si>
    <t>L108_a</t>
  </si>
  <si>
    <t>Écart sur subventions d’exploitation SNF</t>
  </si>
  <si>
    <t>PE3_14</t>
  </si>
  <si>
    <t>L114_Ecart sur subventions d exploitation</t>
  </si>
  <si>
    <t>L109_a</t>
  </si>
  <si>
    <t>Écart sur subventions d’exploitation EI</t>
  </si>
  <si>
    <t>L110_a</t>
  </si>
  <si>
    <t>Écart sur subventions d’exploitation SNFEI</t>
  </si>
  <si>
    <t>L111_a</t>
  </si>
  <si>
    <t>Production marchande SNF prix de base</t>
  </si>
  <si>
    <t>PE2_11</t>
  </si>
  <si>
    <t>PRODUCTION BRANCHE PRIX DE BASE</t>
  </si>
  <si>
    <t>L112_a</t>
  </si>
  <si>
    <t>Production marchande EI prix de base</t>
  </si>
  <si>
    <t>L113_a</t>
  </si>
  <si>
    <t>Production marchande SNFEI prix de base</t>
  </si>
  <si>
    <t>L114_a</t>
  </si>
  <si>
    <t>Production branche prix de base</t>
  </si>
  <si>
    <t>L116_a</t>
  </si>
  <si>
    <t>Production marchande des branches non marchandes</t>
  </si>
  <si>
    <t>PE3_22</t>
  </si>
  <si>
    <t>L117_a</t>
  </si>
  <si>
    <t>Transferts de production totaux</t>
  </si>
  <si>
    <t>PE2_12</t>
  </si>
  <si>
    <t>L118_a</t>
  </si>
  <si>
    <t>Production produit prix de base</t>
  </si>
  <si>
    <t>PE1_01</t>
  </si>
  <si>
    <t>PRODUCTION PRODUIT PRIX DE BASE</t>
  </si>
  <si>
    <t>L119_a</t>
  </si>
  <si>
    <t>Importations de l’UE</t>
  </si>
  <si>
    <t>OPP7</t>
  </si>
  <si>
    <t>Importation de biens et services</t>
  </si>
  <si>
    <t>SIS21</t>
  </si>
  <si>
    <t>États membres et institutions et organes de l’Union européenne</t>
  </si>
  <si>
    <t>PEAUTRE</t>
  </si>
  <si>
    <t>Autre que production</t>
  </si>
  <si>
    <t>L120_a</t>
  </si>
  <si>
    <t>Importations hors de l’UE</t>
  </si>
  <si>
    <t>SIS22</t>
  </si>
  <si>
    <t>Pays non membres de l’UE et organisations internationales non résidentes de l’Union européenne</t>
  </si>
  <si>
    <t>L121_a</t>
  </si>
  <si>
    <t>Importations totales</t>
  </si>
  <si>
    <t>SIS2</t>
  </si>
  <si>
    <t>Reste du monde</t>
  </si>
  <si>
    <t>L127_a</t>
  </si>
  <si>
    <t>Impôts sur les produits</t>
  </si>
  <si>
    <t>OPD214</t>
  </si>
  <si>
    <t>Impôts sur les produits, à l‘exclusion de la TVA et des impôts sur les importations</t>
  </si>
  <si>
    <t>L128_a</t>
  </si>
  <si>
    <t xml:space="preserve">   dont impôts sur les produits acquittés producteurs</t>
  </si>
  <si>
    <t>OPD2141</t>
  </si>
  <si>
    <t>Impôts sur les produits acquittés producteurs</t>
  </si>
  <si>
    <t>L132_a</t>
  </si>
  <si>
    <t>TVA perçue</t>
  </si>
  <si>
    <t>OPD211</t>
  </si>
  <si>
    <t>Taxes de type TVA</t>
  </si>
  <si>
    <t>L133_a</t>
  </si>
  <si>
    <t>Total des ressources</t>
  </si>
  <si>
    <t>OPTSPP</t>
  </si>
  <si>
    <t>Total ressources prix d’acquisition</t>
  </si>
  <si>
    <t>SIS0</t>
  </si>
  <si>
    <t>Total des secteurs institutionnels</t>
  </si>
  <si>
    <t>PE_TOTAL</t>
  </si>
  <si>
    <t>L134_a</t>
  </si>
  <si>
    <t>CI catégorie 1 (SNFEI hors CI2 et CI3)</t>
  </si>
  <si>
    <t>OPP21</t>
  </si>
  <si>
    <t>Consommation intermédiaire de catégorie 1</t>
  </si>
  <si>
    <t>L137_a</t>
  </si>
  <si>
    <t>CI catégorie 2 (sous-traitance)</t>
  </si>
  <si>
    <t>OPP22</t>
  </si>
  <si>
    <t>Consommation intermédiaire de catégorie 2</t>
  </si>
  <si>
    <t>L143_a</t>
  </si>
  <si>
    <t>CI catégorie 4 (secteurs exogènes)</t>
  </si>
  <si>
    <t>OPP24</t>
  </si>
  <si>
    <t>Consommation intermédiaire de catégorie 4</t>
  </si>
  <si>
    <t>L146_a</t>
  </si>
  <si>
    <t>CI totales</t>
  </si>
  <si>
    <t>OPP2</t>
  </si>
  <si>
    <t>Consommation intermédiaire</t>
  </si>
  <si>
    <t>L149_a</t>
  </si>
  <si>
    <t>CF des ménages</t>
  </si>
  <si>
    <t>OPP3</t>
  </si>
  <si>
    <t>L150_a</t>
  </si>
  <si>
    <t>CF individuelle des ménages hors autoconsommation</t>
  </si>
  <si>
    <t>OPP31</t>
  </si>
  <si>
    <t>Dépense de consommation individuelle</t>
  </si>
  <si>
    <t>L156_a</t>
  </si>
  <si>
    <t>CF totale</t>
  </si>
  <si>
    <t>L157_a</t>
  </si>
  <si>
    <t>CF individuelle totale</t>
  </si>
  <si>
    <t>L159_a</t>
  </si>
  <si>
    <t>CF effective des ménages</t>
  </si>
  <si>
    <t>OPP4</t>
  </si>
  <si>
    <t>Consommation finale effective</t>
  </si>
  <si>
    <t>L161_a</t>
  </si>
  <si>
    <t>CF effective totale</t>
  </si>
  <si>
    <t>L164_a</t>
  </si>
  <si>
    <t>FBCF des SNF</t>
  </si>
  <si>
    <t>OPP51G</t>
  </si>
  <si>
    <t>L165_a</t>
  </si>
  <si>
    <t>FBCF des EI</t>
  </si>
  <si>
    <t>L166_a</t>
  </si>
  <si>
    <t>FBCF des SNFEI</t>
  </si>
  <si>
    <t>L167_a</t>
  </si>
  <si>
    <t>FBCF des sociétés financières</t>
  </si>
  <si>
    <t>SIS12K64</t>
  </si>
  <si>
    <t>Sociétés financières : services principalement financiers, hors assurance</t>
  </si>
  <si>
    <t>L168_a</t>
  </si>
  <si>
    <t>FBCF des auxiliaires financiers</t>
  </si>
  <si>
    <t>SIS12K66</t>
  </si>
  <si>
    <t>Sociétés financières : services principalement d’auxiliaires financiers</t>
  </si>
  <si>
    <t>L169_a</t>
  </si>
  <si>
    <t>FBCF des sociétés d’assurance</t>
  </si>
  <si>
    <t>SIS12K65</t>
  </si>
  <si>
    <t>Sociétés financières : services principalement d’assurance</t>
  </si>
  <si>
    <t>L170_a</t>
  </si>
  <si>
    <t>FBCF des IFEA</t>
  </si>
  <si>
    <t>SIS12</t>
  </si>
  <si>
    <t>Sociétés financières</t>
  </si>
  <si>
    <t>L171_a</t>
  </si>
  <si>
    <t>FBCF des APU</t>
  </si>
  <si>
    <t>L172_a</t>
  </si>
  <si>
    <t>FBCF des ISBLSM</t>
  </si>
  <si>
    <t>SIS15</t>
  </si>
  <si>
    <t>Institutions sans but lucratif au services des ménages</t>
  </si>
  <si>
    <t>L173_a</t>
  </si>
  <si>
    <t>FBCF des ménages</t>
  </si>
  <si>
    <t>L174_a</t>
  </si>
  <si>
    <t>FBCF totale</t>
  </si>
  <si>
    <t>L182_a</t>
  </si>
  <si>
    <t>Variations de stock utilisateurs</t>
  </si>
  <si>
    <t>OPP521</t>
  </si>
  <si>
    <t>Variation de stocks de matières premières et fournitures</t>
  </si>
  <si>
    <t>L184_a</t>
  </si>
  <si>
    <t>Variations de stock totales</t>
  </si>
  <si>
    <t>OPP52</t>
  </si>
  <si>
    <t>L185_a</t>
  </si>
  <si>
    <t xml:space="preserve">Exportations de l’UE </t>
  </si>
  <si>
    <t>OPP6</t>
  </si>
  <si>
    <t>Exportation de biens et services</t>
  </si>
  <si>
    <t>L186_a</t>
  </si>
  <si>
    <t xml:space="preserve">Exportations hors de l’UE </t>
  </si>
  <si>
    <t>L187_a</t>
  </si>
  <si>
    <t>Exportations totales</t>
  </si>
  <si>
    <t>L192_a</t>
  </si>
  <si>
    <t>Total des emplois</t>
  </si>
  <si>
    <t>OPTU</t>
  </si>
  <si>
    <t>Total emplois</t>
  </si>
  <si>
    <t>5eT - SD 2021 b2014</t>
  </si>
  <si>
    <t>Indicateurs</t>
  </si>
  <si>
    <t>41B</t>
  </si>
  <si>
    <t>DEF 2020</t>
  </si>
  <si>
    <t>ICA F41B</t>
  </si>
  <si>
    <t>ESANE sect 41B SD20</t>
  </si>
  <si>
    <t>ICP - 41B</t>
  </si>
  <si>
    <t>Travaux sur bâtiments Neufs</t>
  </si>
  <si>
    <t xml:space="preserve">Sources  utilisées  </t>
  </si>
  <si>
    <t>vu Def20</t>
  </si>
  <si>
    <t>* surface moy</t>
  </si>
  <si>
    <t>Travaux sur bâtiments Existants</t>
  </si>
  <si>
    <t xml:space="preserve"> Source : SDeS, fichier prod_nov2019 (récupéré fin dec19)</t>
  </si>
  <si>
    <t>FFB - Bilan 2021</t>
  </si>
  <si>
    <t>Equivalents surfaces en m² valorisés (surface produite)</t>
  </si>
  <si>
    <t>2020/2019 (volume)</t>
  </si>
  <si>
    <t>FBCF yc stocks</t>
  </si>
  <si>
    <t>Total neuf + amélioration (FBCF)</t>
  </si>
  <si>
    <t>(FBCF ménages neuf:105,2)</t>
  </si>
  <si>
    <t>Ligne20</t>
  </si>
  <si>
    <t>BR existant indiv.</t>
  </si>
  <si>
    <t>Ligne22</t>
  </si>
  <si>
    <t>BR existant coll.</t>
  </si>
  <si>
    <t>cible :</t>
  </si>
  <si>
    <t>cible SD21</t>
  </si>
  <si>
    <t>Répart FBCF BR/BNR</t>
  </si>
  <si>
    <t>Total 41B + var stocks</t>
  </si>
  <si>
    <t>FBCF PMP ok</t>
  </si>
  <si>
    <t>VOL</t>
  </si>
  <si>
    <t>VAL</t>
  </si>
  <si>
    <t>(FBCF PM neuf:96,7)</t>
  </si>
  <si>
    <t>(FBCF PM trvx:106,2)</t>
  </si>
  <si>
    <t>Ligne37</t>
  </si>
  <si>
    <t>Bilan FFB</t>
  </si>
  <si>
    <t>(FFB, ivol 107)</t>
  </si>
  <si>
    <t>Ligne40</t>
  </si>
  <si>
    <t>BNR Existant</t>
  </si>
  <si>
    <t>FBCF hors SNFEI</t>
  </si>
  <si>
    <t>BR exist.coll.</t>
  </si>
  <si>
    <t>Ligne38</t>
  </si>
  <si>
    <t>(FFB, ivol 82)</t>
  </si>
  <si>
    <t>Ligne41</t>
  </si>
  <si>
    <t>Source : partie gauche de l’onglet</t>
  </si>
  <si>
    <t>FBCF PM +APU
(prdt BR)</t>
  </si>
  <si>
    <t>BR existant coll. PMP</t>
  </si>
  <si>
    <t>BR exist.coll. APU</t>
  </si>
  <si>
    <t>à comparer aux IVAL du SDeS</t>
  </si>
  <si>
    <t>(en 2015 : ival 99,53 pr FBCF ménages du SOeS)</t>
  </si>
  <si>
    <t>total NEUF</t>
  </si>
  <si>
    <t>total EXISTANT</t>
  </si>
  <si>
    <t>neuf</t>
  </si>
  <si>
    <t>NR</t>
  </si>
  <si>
    <t>ratio NR NEUF / NR GE</t>
  </si>
  <si>
    <t>NR NEUF</t>
  </si>
  <si>
    <t>NR apu neuf</t>
  </si>
  <si>
    <t>NR apu GE</t>
  </si>
  <si>
    <t>NR PM neuf</t>
  </si>
  <si>
    <t>NR PM GE</t>
  </si>
  <si>
    <t xml:space="preserve"> bâtiments hors terrain</t>
  </si>
  <si>
    <t>Travaux sur bâtiment existant</t>
  </si>
  <si>
    <t>Source 1 ratio Insee</t>
  </si>
  <si>
    <t>Source 2 ratio CSL</t>
  </si>
  <si>
    <t>Source 2 ratio SDES</t>
  </si>
  <si>
    <t>Source 2 E.R.E. + tableau intermédiaire du 43Z (partie travaux publics)</t>
  </si>
  <si>
    <t>Source 1 E.S.A.  (enquête statistique d'entreprise)</t>
  </si>
  <si>
    <t>Source 3 E.R.E. (équilibre-ressources-emplois)</t>
  </si>
  <si>
    <t>Source 3 FFB 2022</t>
  </si>
  <si>
    <t>Spurce 3 FFB</t>
  </si>
  <si>
    <t>RETENU</t>
  </si>
  <si>
    <t>Source ratio Rés /Non Rés Insee</t>
  </si>
  <si>
    <t>Source : Insee, CSL, SDES, FFB, calcul de l'auteur</t>
  </si>
  <si>
    <t>neuf NR</t>
  </si>
  <si>
    <t>GE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</si>
</sst>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0.0%"/>
    <numFmt numFmtId="166" formatCode="#,##0&quot;  &quot;;\-\ #,##0&quot;  &quot;"/>
    <numFmt numFmtId="167" formatCode="dd\.mm\.yy"/>
    <numFmt numFmtId="168" formatCode="#,##0.0"/>
    <numFmt numFmtId="169" formatCode="0.000"/>
    <numFmt numFmtId="170" formatCode="#,##0.0000"/>
    <numFmt numFmtId="171" formatCode="0.00000"/>
    <numFmt numFmtId="172" formatCode="#,##0.000"/>
    <numFmt numFmtId="173" formatCode="0.00\ %"/>
    <numFmt numFmtId="174" formatCode="0\ %"/>
  </numFmts>
  <fonts count="119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0"/>
      <color rgb="FF000000"/>
      <name val="Arial"/>
      <family val="2"/>
    </font>
    <font>
      <b/>
      <sz val="13.5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i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6"/>
      <name val="Arial"/>
      <family val="2"/>
      <charset val="1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sz val="14"/>
      <color rgb="FFFF0000"/>
      <name val="Arial"/>
      <family val="2"/>
      <charset val="1"/>
    </font>
    <font>
      <sz val="1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6"/>
      <color rgb="FF0070C0"/>
      <name val="Arial"/>
      <family val="2"/>
    </font>
    <font>
      <sz val="14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rgb="FFFF0000"/>
      <name val="Arial"/>
      <family val="2"/>
    </font>
    <font>
      <b/>
      <sz val="20"/>
      <color rgb="FF7030A0"/>
      <name val="Arial"/>
      <family val="2"/>
    </font>
    <font>
      <sz val="20"/>
      <color rgb="FF7030A0"/>
      <name val="Arial"/>
      <family val="2"/>
    </font>
    <font>
      <u/>
      <sz val="14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b/>
      <i/>
      <sz val="20"/>
      <color rgb="FFFF000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color rgb="FFFF0000"/>
      <name val="Arial"/>
      <family val="2"/>
    </font>
    <font>
      <sz val="20"/>
      <color rgb="FFFF000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20"/>
      <color rgb="FF000000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sz val="9"/>
      <color indexed="8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  <charset val="1"/>
    </font>
    <font>
      <b/>
      <i/>
      <sz val="10.5"/>
      <color indexed="1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  <charset val="1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u/>
      <sz val="8"/>
      <color indexed="12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  <charset val="1"/>
    </font>
    <font>
      <sz val="9"/>
      <name val="Arial"/>
      <family val="2"/>
      <charset val="1"/>
    </font>
    <font>
      <i/>
      <sz val="8"/>
      <color indexed="8"/>
      <name val="Arial"/>
      <family val="2"/>
      <charset val="1"/>
    </font>
    <font>
      <i/>
      <sz val="9"/>
      <color indexed="10"/>
      <name val="Arial"/>
      <family val="2"/>
      <charset val="1"/>
    </font>
    <font>
      <b/>
      <sz val="9"/>
      <name val="Arial"/>
      <family val="2"/>
      <charset val="1"/>
    </font>
    <font>
      <b/>
      <sz val="8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indexed="48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9"/>
      <name val="Arial"/>
      <family val="2"/>
    </font>
    <font>
      <b/>
      <sz val="8"/>
      <color indexed="8"/>
      <name val="Arial"/>
      <family val="2"/>
      <charset val="1"/>
    </font>
    <font>
      <b/>
      <sz val="10"/>
      <name val="Arial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9"/>
      <color indexed="8"/>
      <name val="Tahoma"/>
      <family val="2"/>
    </font>
    <font>
      <sz val="12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sz val="16"/>
      <color indexed="8"/>
      <name val="Arial"/>
      <family val="2"/>
      <charset val="1"/>
    </font>
    <font>
      <b/>
      <sz val="13"/>
      <name val="Arial"/>
      <family val="2"/>
    </font>
    <font>
      <b/>
      <sz val="8"/>
      <color indexed="8"/>
      <name val="Arial"/>
      <family val="2"/>
    </font>
    <font>
      <b/>
      <i/>
      <sz val="12"/>
      <color indexed="12"/>
      <name val="Arial"/>
      <family val="2"/>
    </font>
    <font>
      <sz val="10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4"/>
      <color rgb="FFFF0000"/>
      <name val="Arial"/>
      <family val="2"/>
    </font>
    <font>
      <b/>
      <i/>
      <sz val="18"/>
      <color rgb="FFFF0000"/>
      <name val="Arial"/>
      <family val="2"/>
    </font>
    <font>
      <sz val="18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24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  <bgColor indexed="29"/>
      </patternFill>
    </fill>
    <fill>
      <patternFill patternType="solid">
        <fgColor indexed="44"/>
        <bgColor indexed="35"/>
      </patternFill>
    </fill>
    <fill>
      <patternFill patternType="solid">
        <fgColor indexed="10"/>
        <bgColor indexed="6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34"/>
      </patternFill>
    </fill>
    <fill>
      <patternFill patternType="solid">
        <fgColor indexed="41"/>
        <bgColor indexed="29"/>
      </patternFill>
    </fill>
    <fill>
      <patternFill patternType="solid">
        <fgColor indexed="45"/>
        <bgColor indexed="4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indexed="51"/>
        <bgColor indexed="34"/>
      </patternFill>
    </fill>
    <fill>
      <patternFill patternType="solid">
        <fgColor indexed="15"/>
        <bgColor indexed="40"/>
      </patternFill>
    </fill>
    <fill>
      <patternFill patternType="solid">
        <fgColor indexed="22"/>
        <bgColor indexed="23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0"/>
        <bgColor indexed="52"/>
      </patternFill>
    </fill>
    <fill>
      <patternFill patternType="solid">
        <fgColor indexed="11"/>
        <bgColor indexed="40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5"/>
        <bgColor indexed="44"/>
      </patternFill>
    </fill>
    <fill>
      <patternFill patternType="solid">
        <fgColor theme="4" tint="0.79998168889431442"/>
        <bgColor indexed="64"/>
      </patternFill>
    </fill>
  </fills>
  <borders count="106">
    <border>
      <left/>
      <right/>
      <top/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29" fillId="0" borderId="0"/>
    <xf numFmtId="9" fontId="38" fillId="0" borderId="0" applyFont="0" applyFill="0" applyBorder="0" applyAlignment="0" applyProtection="0"/>
    <xf numFmtId="0" fontId="41" fillId="0" borderId="0"/>
    <xf numFmtId="0" fontId="41" fillId="0" borderId="0"/>
    <xf numFmtId="0" fontId="29" fillId="0" borderId="0"/>
  </cellStyleXfs>
  <cellXfs count="1017">
    <xf numFmtId="0" fontId="0" fillId="0" borderId="0" xfId="0"/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164" fontId="5" fillId="4" borderId="0" xfId="0" applyNumberFormat="1" applyFont="1" applyFill="1" applyAlignment="1" applyProtection="1">
      <alignment horizontal="center" vertical="center" wrapText="1"/>
      <protection locked="0"/>
    </xf>
    <xf numFmtId="164" fontId="3" fillId="0" borderId="0" xfId="0" applyNumberFormat="1" applyFont="1"/>
    <xf numFmtId="0" fontId="5" fillId="2" borderId="0" xfId="0" applyFont="1" applyFill="1" applyAlignment="1" applyProtection="1">
      <alignment horizontal="center" wrapText="1"/>
      <protection locked="0"/>
    </xf>
    <xf numFmtId="164" fontId="5" fillId="4" borderId="0" xfId="0" applyNumberFormat="1" applyFont="1" applyFill="1" applyAlignment="1" applyProtection="1">
      <alignment horizontal="center" wrapText="1"/>
      <protection locked="0"/>
    </xf>
    <xf numFmtId="164" fontId="5" fillId="2" borderId="0" xfId="0" applyNumberFormat="1" applyFont="1" applyFill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3" fontId="9" fillId="0" borderId="0" xfId="0" applyNumberFormat="1" applyFont="1" applyAlignment="1" applyProtection="1">
      <alignment textRotation="90"/>
      <protection locked="0"/>
    </xf>
    <xf numFmtId="3" fontId="3" fillId="0" borderId="0" xfId="0" applyNumberFormat="1" applyFon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3" fontId="11" fillId="0" borderId="0" xfId="0" applyNumberFormat="1" applyFont="1" applyAlignment="1" applyProtection="1"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0" fontId="3" fillId="0" borderId="1" xfId="0" applyFont="1" applyBorder="1" applyAlignment="1" applyProtection="1">
      <protection locked="0"/>
    </xf>
    <xf numFmtId="3" fontId="11" fillId="0" borderId="0" xfId="0" applyNumberFormat="1" applyFont="1" applyAlignment="1" applyProtection="1">
      <alignment textRotation="90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protection locked="0"/>
    </xf>
    <xf numFmtId="0" fontId="2" fillId="0" borderId="0" xfId="0" applyFont="1"/>
    <xf numFmtId="0" fontId="16" fillId="0" borderId="0" xfId="0" applyFont="1" applyAlignment="1" applyProtection="1">
      <alignment horizontal="left"/>
      <protection locked="0"/>
    </xf>
    <xf numFmtId="0" fontId="17" fillId="0" borderId="0" xfId="0" applyFont="1"/>
    <xf numFmtId="0" fontId="15" fillId="0" borderId="1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0" fontId="16" fillId="5" borderId="0" xfId="0" applyFont="1" applyFill="1" applyAlignment="1" applyProtection="1">
      <protection locked="0"/>
    </xf>
    <xf numFmtId="3" fontId="16" fillId="5" borderId="0" xfId="0" applyNumberFormat="1" applyFont="1" applyFill="1" applyAlignment="1" applyProtection="1">
      <alignment horizontal="right"/>
      <protection locked="0"/>
    </xf>
    <xf numFmtId="3" fontId="15" fillId="5" borderId="0" xfId="0" applyNumberFormat="1" applyFont="1" applyFill="1" applyAlignment="1" applyProtection="1">
      <alignment horizontal="right"/>
      <protection locked="0"/>
    </xf>
    <xf numFmtId="0" fontId="17" fillId="5" borderId="0" xfId="0" applyFont="1" applyFill="1"/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20" fillId="0" borderId="0" xfId="0" applyFont="1"/>
    <xf numFmtId="164" fontId="17" fillId="0" borderId="0" xfId="0" applyNumberFormat="1" applyFont="1"/>
    <xf numFmtId="0" fontId="25" fillId="0" borderId="0" xfId="0" applyFont="1"/>
    <xf numFmtId="3" fontId="14" fillId="0" borderId="0" xfId="0" applyNumberFormat="1" applyFont="1" applyAlignment="1" applyProtection="1">
      <protection locked="0"/>
    </xf>
    <xf numFmtId="3" fontId="13" fillId="0" borderId="0" xfId="0" applyNumberFormat="1" applyFont="1" applyAlignment="1" applyProtection="1"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0" fontId="17" fillId="6" borderId="0" xfId="0" applyFont="1" applyFill="1"/>
    <xf numFmtId="164" fontId="17" fillId="6" borderId="0" xfId="0" applyNumberFormat="1" applyFont="1" applyFill="1"/>
    <xf numFmtId="0" fontId="28" fillId="6" borderId="0" xfId="0" applyFont="1" applyFill="1"/>
    <xf numFmtId="0" fontId="17" fillId="5" borderId="4" xfId="0" applyFont="1" applyFill="1" applyBorder="1"/>
    <xf numFmtId="0" fontId="17" fillId="0" borderId="0" xfId="0" applyFont="1" applyBorder="1"/>
    <xf numFmtId="0" fontId="17" fillId="0" borderId="9" xfId="0" applyFont="1" applyBorder="1"/>
    <xf numFmtId="164" fontId="26" fillId="0" borderId="9" xfId="0" applyNumberFormat="1" applyFont="1" applyBorder="1"/>
    <xf numFmtId="164" fontId="26" fillId="0" borderId="7" xfId="0" applyNumberFormat="1" applyFont="1" applyBorder="1"/>
    <xf numFmtId="0" fontId="17" fillId="0" borderId="7" xfId="0" applyFont="1" applyBorder="1"/>
    <xf numFmtId="0" fontId="17" fillId="0" borderId="5" xfId="0" applyFont="1" applyBorder="1"/>
    <xf numFmtId="0" fontId="26" fillId="0" borderId="0" xfId="0" applyFont="1" applyBorder="1" applyAlignment="1">
      <alignment vertical="top"/>
    </xf>
    <xf numFmtId="0" fontId="21" fillId="0" borderId="7" xfId="0" applyFont="1" applyBorder="1"/>
    <xf numFmtId="0" fontId="15" fillId="0" borderId="0" xfId="0" applyFont="1" applyBorder="1" applyAlignment="1" applyProtection="1">
      <alignment horizontal="left"/>
      <protection locked="0"/>
    </xf>
    <xf numFmtId="164" fontId="26" fillId="5" borderId="4" xfId="0" applyNumberFormat="1" applyFont="1" applyFill="1" applyBorder="1"/>
    <xf numFmtId="164" fontId="26" fillId="5" borderId="5" xfId="0" applyNumberFormat="1" applyFont="1" applyFill="1" applyBorder="1"/>
    <xf numFmtId="0" fontId="33" fillId="0" borderId="0" xfId="2" applyFont="1" applyFill="1" applyBorder="1" applyAlignment="1" applyProtection="1">
      <alignment horizontal="left" vertical="center"/>
      <protection locked="0"/>
    </xf>
    <xf numFmtId="3" fontId="34" fillId="0" borderId="0" xfId="2" applyNumberFormat="1" applyFont="1" applyFill="1" applyBorder="1" applyAlignment="1">
      <alignment horizontal="centerContinuous"/>
    </xf>
    <xf numFmtId="0" fontId="34" fillId="0" borderId="0" xfId="2" applyFont="1" applyFill="1" applyBorder="1" applyAlignment="1">
      <alignment horizontal="centerContinuous"/>
    </xf>
    <xf numFmtId="3" fontId="34" fillId="0" borderId="0" xfId="2" applyNumberFormat="1" applyFont="1" applyFill="1" applyBorder="1"/>
    <xf numFmtId="0" fontId="34" fillId="0" borderId="0" xfId="2" applyFont="1" applyFill="1" applyBorder="1"/>
    <xf numFmtId="0" fontId="0" fillId="0" borderId="0" xfId="0" applyFill="1"/>
    <xf numFmtId="0" fontId="34" fillId="6" borderId="16" xfId="2" applyFont="1" applyFill="1" applyBorder="1"/>
    <xf numFmtId="3" fontId="35" fillId="6" borderId="11" xfId="2" applyNumberFormat="1" applyFont="1" applyFill="1" applyBorder="1" applyAlignment="1">
      <alignment horizontal="centerContinuous"/>
    </xf>
    <xf numFmtId="3" fontId="34" fillId="6" borderId="11" xfId="2" applyNumberFormat="1" applyFont="1" applyFill="1" applyBorder="1" applyAlignment="1">
      <alignment horizontal="centerContinuous"/>
    </xf>
    <xf numFmtId="0" fontId="34" fillId="6" borderId="11" xfId="2" applyFont="1" applyFill="1" applyBorder="1" applyAlignment="1">
      <alignment horizontal="centerContinuous"/>
    </xf>
    <xf numFmtId="0" fontId="35" fillId="6" borderId="16" xfId="2" applyFont="1" applyFill="1" applyBorder="1" applyAlignment="1">
      <alignment horizontal="center" vertical="center"/>
    </xf>
    <xf numFmtId="0" fontId="35" fillId="6" borderId="16" xfId="2" applyFont="1" applyFill="1" applyBorder="1" applyAlignment="1">
      <alignment horizontal="center"/>
    </xf>
    <xf numFmtId="0" fontId="35" fillId="6" borderId="17" xfId="2" applyFont="1" applyFill="1" applyBorder="1" applyAlignment="1">
      <alignment horizontal="center" vertical="top"/>
    </xf>
    <xf numFmtId="3" fontId="34" fillId="6" borderId="4" xfId="2" applyNumberFormat="1" applyFont="1" applyFill="1" applyBorder="1" applyAlignment="1">
      <alignment horizontal="centerContinuous"/>
    </xf>
    <xf numFmtId="0" fontId="34" fillId="6" borderId="5" xfId="2" applyFont="1" applyFill="1" applyBorder="1" applyAlignment="1">
      <alignment horizontal="centerContinuous"/>
    </xf>
    <xf numFmtId="0" fontId="34" fillId="6" borderId="4" xfId="2" applyFont="1" applyFill="1" applyBorder="1"/>
    <xf numFmtId="0" fontId="35" fillId="6" borderId="17" xfId="2" applyFont="1" applyFill="1" applyBorder="1" applyAlignment="1">
      <alignment horizontal="center"/>
    </xf>
    <xf numFmtId="0" fontId="34" fillId="6" borderId="18" xfId="2" applyFont="1" applyFill="1" applyBorder="1" applyAlignment="1" applyProtection="1">
      <alignment horizontal="center" wrapText="1"/>
      <protection locked="0"/>
    </xf>
    <xf numFmtId="3" fontId="34" fillId="6" borderId="19" xfId="2" applyNumberFormat="1" applyFont="1" applyFill="1" applyBorder="1" applyAlignment="1">
      <alignment horizontal="center" vertical="center" wrapText="1"/>
    </xf>
    <xf numFmtId="3" fontId="34" fillId="6" borderId="13" xfId="2" applyNumberFormat="1" applyFont="1" applyFill="1" applyBorder="1" applyAlignment="1">
      <alignment horizontal="center" vertical="center" wrapText="1"/>
    </xf>
    <xf numFmtId="0" fontId="34" fillId="6" borderId="2" xfId="2" applyFont="1" applyFill="1" applyBorder="1" applyAlignment="1">
      <alignment horizontal="center" vertical="center" wrapText="1"/>
    </xf>
    <xf numFmtId="3" fontId="34" fillId="6" borderId="14" xfId="2" applyNumberFormat="1" applyFont="1" applyFill="1" applyBorder="1" applyAlignment="1">
      <alignment horizontal="center" vertical="center" wrapText="1"/>
    </xf>
    <xf numFmtId="0" fontId="34" fillId="6" borderId="9" xfId="2" applyFont="1" applyFill="1" applyBorder="1" applyAlignment="1">
      <alignment horizontal="center" vertical="top"/>
    </xf>
    <xf numFmtId="0" fontId="35" fillId="6" borderId="18" xfId="2" applyFont="1" applyFill="1" applyBorder="1" applyAlignment="1">
      <alignment horizontal="center" vertical="top"/>
    </xf>
    <xf numFmtId="0" fontId="35" fillId="6" borderId="17" xfId="2" applyFont="1" applyFill="1" applyBorder="1" applyAlignment="1" applyProtection="1">
      <alignment horizontal="left"/>
      <protection locked="0"/>
    </xf>
    <xf numFmtId="166" fontId="35" fillId="6" borderId="0" xfId="2" applyNumberFormat="1" applyFont="1" applyFill="1" applyBorder="1" applyAlignment="1" applyProtection="1">
      <alignment horizontal="right"/>
      <protection locked="0"/>
    </xf>
    <xf numFmtId="166" fontId="35" fillId="6" borderId="15" xfId="2" applyNumberFormat="1" applyFont="1" applyFill="1" applyBorder="1" applyAlignment="1" applyProtection="1">
      <alignment horizontal="right"/>
      <protection locked="0"/>
    </xf>
    <xf numFmtId="166" fontId="35" fillId="6" borderId="17" xfId="2" applyNumberFormat="1" applyFont="1" applyFill="1" applyBorder="1" applyAlignment="1" applyProtection="1">
      <alignment horizontal="right"/>
      <protection locked="0"/>
    </xf>
    <xf numFmtId="166" fontId="34" fillId="6" borderId="0" xfId="2" applyNumberFormat="1" applyFont="1" applyFill="1" applyBorder="1" applyAlignment="1" applyProtection="1">
      <alignment horizontal="right"/>
      <protection locked="0"/>
    </xf>
    <xf numFmtId="166" fontId="35" fillId="6" borderId="20" xfId="2" applyNumberFormat="1" applyFont="1" applyFill="1" applyBorder="1" applyAlignment="1" applyProtection="1">
      <alignment horizontal="right"/>
      <protection locked="0"/>
    </xf>
    <xf numFmtId="166" fontId="34" fillId="6" borderId="17" xfId="2" applyNumberFormat="1" applyFont="1" applyFill="1" applyBorder="1" applyAlignment="1" applyProtection="1">
      <alignment horizontal="right"/>
      <protection locked="0"/>
    </xf>
    <xf numFmtId="0" fontId="35" fillId="6" borderId="21" xfId="2" applyFont="1" applyFill="1" applyBorder="1" applyAlignment="1" applyProtection="1">
      <alignment vertical="center" wrapText="1"/>
      <protection locked="0"/>
    </xf>
    <xf numFmtId="166" fontId="35" fillId="6" borderId="13" xfId="2" applyNumberFormat="1" applyFont="1" applyFill="1" applyBorder="1" applyAlignment="1" applyProtection="1">
      <alignment horizontal="right"/>
      <protection locked="0"/>
    </xf>
    <xf numFmtId="166" fontId="35" fillId="6" borderId="2" xfId="2" applyNumberFormat="1" applyFont="1" applyFill="1" applyBorder="1" applyAlignment="1" applyProtection="1">
      <alignment horizontal="right"/>
      <protection locked="0"/>
    </xf>
    <xf numFmtId="166" fontId="35" fillId="6" borderId="21" xfId="2" applyNumberFormat="1" applyFont="1" applyFill="1" applyBorder="1" applyAlignment="1" applyProtection="1">
      <alignment horizontal="right"/>
      <protection locked="0"/>
    </xf>
    <xf numFmtId="166" fontId="35" fillId="6" borderId="21" xfId="2" applyNumberFormat="1" applyFont="1" applyFill="1" applyBorder="1" applyAlignment="1" applyProtection="1">
      <alignment horizontal="right" vertical="center"/>
      <protection locked="0"/>
    </xf>
    <xf numFmtId="0" fontId="35" fillId="6" borderId="17" xfId="2" applyFont="1" applyFill="1" applyBorder="1" applyAlignment="1" applyProtection="1">
      <alignment wrapText="1"/>
      <protection locked="0"/>
    </xf>
    <xf numFmtId="0" fontId="35" fillId="6" borderId="17" xfId="2" applyFont="1" applyFill="1" applyBorder="1" applyAlignment="1" applyProtection="1">
      <protection locked="0"/>
    </xf>
    <xf numFmtId="0" fontId="35" fillId="6" borderId="22" xfId="2" applyFont="1" applyFill="1" applyBorder="1" applyAlignment="1" applyProtection="1">
      <alignment horizontal="left" vertical="center" wrapText="1"/>
      <protection locked="0"/>
    </xf>
    <xf numFmtId="166" fontId="35" fillId="6" borderId="23" xfId="2" applyNumberFormat="1" applyFont="1" applyFill="1" applyBorder="1" applyAlignment="1" applyProtection="1">
      <alignment horizontal="right" vertical="center"/>
      <protection locked="0"/>
    </xf>
    <xf numFmtId="166" fontId="35" fillId="6" borderId="24" xfId="2" applyNumberFormat="1" applyFont="1" applyFill="1" applyBorder="1" applyAlignment="1" applyProtection="1">
      <alignment horizontal="right" vertical="center"/>
      <protection locked="0"/>
    </xf>
    <xf numFmtId="166" fontId="35" fillId="6" borderId="22" xfId="2" applyNumberFormat="1" applyFont="1" applyFill="1" applyBorder="1" applyAlignment="1" applyProtection="1">
      <alignment horizontal="right" vertical="center"/>
      <protection locked="0"/>
    </xf>
    <xf numFmtId="0" fontId="33" fillId="0" borderId="0" xfId="2" applyFont="1" applyFill="1" applyBorder="1" applyAlignment="1" applyProtection="1">
      <alignment horizontal="left"/>
      <protection locked="0"/>
    </xf>
    <xf numFmtId="0" fontId="34" fillId="0" borderId="0" xfId="2" applyFont="1" applyFill="1" applyBorder="1" applyAlignment="1" applyProtection="1">
      <alignment horizontal="left"/>
      <protection locked="0"/>
    </xf>
    <xf numFmtId="166" fontId="0" fillId="0" borderId="0" xfId="0" applyNumberFormat="1" applyFill="1"/>
    <xf numFmtId="0" fontId="37" fillId="0" borderId="0" xfId="1" applyFont="1" applyFill="1" applyBorder="1" applyAlignment="1" applyProtection="1"/>
    <xf numFmtId="0" fontId="26" fillId="0" borderId="4" xfId="0" applyFont="1" applyBorder="1"/>
    <xf numFmtId="0" fontId="29" fillId="0" borderId="0" xfId="0" applyNumberFormat="1" applyFont="1" applyFill="1" applyBorder="1" applyAlignment="1"/>
    <xf numFmtId="167" fontId="29" fillId="0" borderId="0" xfId="0" applyNumberFormat="1" applyFont="1" applyFill="1" applyBorder="1" applyAlignment="1"/>
    <xf numFmtId="0" fontId="29" fillId="8" borderId="25" xfId="0" applyNumberFormat="1" applyFont="1" applyFill="1" applyBorder="1" applyAlignment="1"/>
    <xf numFmtId="0" fontId="29" fillId="8" borderId="26" xfId="0" applyNumberFormat="1" applyFont="1" applyFill="1" applyBorder="1" applyAlignment="1"/>
    <xf numFmtId="0" fontId="29" fillId="8" borderId="27" xfId="0" applyNumberFormat="1" applyFont="1" applyFill="1" applyBorder="1" applyAlignment="1"/>
    <xf numFmtId="0" fontId="29" fillId="8" borderId="0" xfId="0" applyNumberFormat="1" applyFont="1" applyFill="1" applyBorder="1" applyAlignment="1"/>
    <xf numFmtId="168" fontId="29" fillId="0" borderId="25" xfId="0" applyNumberFormat="1" applyFont="1" applyFill="1" applyBorder="1" applyAlignment="1"/>
    <xf numFmtId="168" fontId="0" fillId="0" borderId="0" xfId="0" applyNumberFormat="1"/>
    <xf numFmtId="4" fontId="29" fillId="0" borderId="25" xfId="0" applyNumberFormat="1" applyFont="1" applyFill="1" applyBorder="1" applyAlignment="1"/>
    <xf numFmtId="3" fontId="29" fillId="0" borderId="25" xfId="0" applyNumberFormat="1" applyFont="1" applyFill="1" applyBorder="1" applyAlignment="1"/>
    <xf numFmtId="0" fontId="29" fillId="5" borderId="25" xfId="0" applyNumberFormat="1" applyFont="1" applyFill="1" applyBorder="1" applyAlignment="1"/>
    <xf numFmtId="0" fontId="0" fillId="5" borderId="0" xfId="0" applyFill="1"/>
    <xf numFmtId="0" fontId="29" fillId="5" borderId="26" xfId="0" applyNumberFormat="1" applyFont="1" applyFill="1" applyBorder="1" applyAlignment="1"/>
    <xf numFmtId="9" fontId="0" fillId="0" borderId="0" xfId="4" applyFont="1"/>
    <xf numFmtId="9" fontId="39" fillId="0" borderId="0" xfId="4" applyFont="1"/>
    <xf numFmtId="9" fontId="40" fillId="0" borderId="0" xfId="4" applyFont="1"/>
    <xf numFmtId="0" fontId="39" fillId="0" borderId="0" xfId="0" applyFont="1"/>
    <xf numFmtId="0" fontId="41" fillId="0" borderId="0" xfId="5"/>
    <xf numFmtId="0" fontId="41" fillId="5" borderId="0" xfId="5" applyFill="1"/>
    <xf numFmtId="0" fontId="41" fillId="9" borderId="0" xfId="5" applyFill="1"/>
    <xf numFmtId="0" fontId="41" fillId="10" borderId="0" xfId="5" applyFill="1"/>
    <xf numFmtId="0" fontId="41" fillId="6" borderId="0" xfId="5" applyFill="1"/>
    <xf numFmtId="0" fontId="0" fillId="6" borderId="0" xfId="0" applyFill="1"/>
    <xf numFmtId="168" fontId="0" fillId="0" borderId="0" xfId="0" applyNumberFormat="1" applyFill="1" applyBorder="1"/>
    <xf numFmtId="0" fontId="41" fillId="0" borderId="0" xfId="6"/>
    <xf numFmtId="0" fontId="41" fillId="5" borderId="0" xfId="6" applyFill="1"/>
    <xf numFmtId="0" fontId="41" fillId="10" borderId="0" xfId="6" applyFill="1"/>
    <xf numFmtId="165" fontId="30" fillId="0" borderId="0" xfId="0" applyNumberFormat="1" applyFont="1" applyBorder="1"/>
    <xf numFmtId="0" fontId="42" fillId="0" borderId="0" xfId="0" applyFont="1" applyBorder="1"/>
    <xf numFmtId="0" fontId="45" fillId="0" borderId="0" xfId="0" applyFont="1"/>
    <xf numFmtId="165" fontId="44" fillId="0" borderId="0" xfId="0" applyNumberFormat="1" applyFont="1" applyBorder="1"/>
    <xf numFmtId="0" fontId="42" fillId="0" borderId="6" xfId="0" quotePrefix="1" applyFont="1" applyBorder="1" applyAlignment="1" applyProtection="1">
      <protection locked="0"/>
    </xf>
    <xf numFmtId="0" fontId="0" fillId="0" borderId="0" xfId="0" applyBorder="1"/>
    <xf numFmtId="0" fontId="0" fillId="0" borderId="7" xfId="0" applyBorder="1"/>
    <xf numFmtId="164" fontId="17" fillId="5" borderId="0" xfId="0" applyNumberFormat="1" applyFont="1" applyFill="1"/>
    <xf numFmtId="0" fontId="25" fillId="5" borderId="0" xfId="0" applyFont="1" applyFill="1"/>
    <xf numFmtId="164" fontId="25" fillId="5" borderId="0" xfId="0" applyNumberFormat="1" applyFont="1" applyFill="1"/>
    <xf numFmtId="0" fontId="34" fillId="5" borderId="17" xfId="2" applyFont="1" applyFill="1" applyBorder="1"/>
    <xf numFmtId="0" fontId="34" fillId="5" borderId="18" xfId="2" applyFont="1" applyFill="1" applyBorder="1"/>
    <xf numFmtId="166" fontId="35" fillId="5" borderId="17" xfId="2" applyNumberFormat="1" applyFont="1" applyFill="1" applyBorder="1" applyAlignment="1" applyProtection="1">
      <alignment horizontal="right"/>
      <protection locked="0"/>
    </xf>
    <xf numFmtId="166" fontId="34" fillId="5" borderId="17" xfId="2" applyNumberFormat="1" applyFont="1" applyFill="1" applyBorder="1" applyAlignment="1" applyProtection="1">
      <alignment horizontal="right"/>
      <protection locked="0"/>
    </xf>
    <xf numFmtId="166" fontId="35" fillId="5" borderId="21" xfId="2" applyNumberFormat="1" applyFont="1" applyFill="1" applyBorder="1" applyAlignment="1" applyProtection="1">
      <alignment horizontal="right"/>
      <protection locked="0"/>
    </xf>
    <xf numFmtId="0" fontId="34" fillId="5" borderId="2" xfId="2" applyFont="1" applyFill="1" applyBorder="1" applyAlignment="1">
      <alignment horizontal="center" vertical="center" wrapText="1"/>
    </xf>
    <xf numFmtId="166" fontId="35" fillId="5" borderId="15" xfId="2" applyNumberFormat="1" applyFont="1" applyFill="1" applyBorder="1" applyAlignment="1" applyProtection="1">
      <alignment horizontal="right"/>
      <protection locked="0"/>
    </xf>
    <xf numFmtId="166" fontId="34" fillId="5" borderId="20" xfId="2" applyNumberFormat="1" applyFont="1" applyFill="1" applyBorder="1" applyAlignment="1" applyProtection="1">
      <alignment horizontal="right"/>
      <protection locked="0"/>
    </xf>
    <xf numFmtId="166" fontId="35" fillId="5" borderId="2" xfId="2" applyNumberFormat="1" applyFont="1" applyFill="1" applyBorder="1" applyAlignment="1" applyProtection="1">
      <alignment horizontal="right"/>
      <protection locked="0"/>
    </xf>
    <xf numFmtId="166" fontId="35" fillId="5" borderId="20" xfId="2" applyNumberFormat="1" applyFont="1" applyFill="1" applyBorder="1" applyAlignment="1" applyProtection="1">
      <alignment horizontal="right"/>
      <protection locked="0"/>
    </xf>
    <xf numFmtId="166" fontId="35" fillId="5" borderId="24" xfId="2" applyNumberFormat="1" applyFont="1" applyFill="1" applyBorder="1" applyAlignment="1" applyProtection="1">
      <alignment horizontal="right" vertical="center"/>
      <protection locked="0"/>
    </xf>
    <xf numFmtId="166" fontId="0" fillId="5" borderId="0" xfId="0" applyNumberFormat="1" applyFill="1"/>
    <xf numFmtId="0" fontId="29" fillId="0" borderId="0" xfId="0" applyFont="1" applyFill="1"/>
    <xf numFmtId="169" fontId="0" fillId="0" borderId="0" xfId="0" applyNumberFormat="1"/>
    <xf numFmtId="0" fontId="25" fillId="6" borderId="0" xfId="0" applyFont="1" applyFill="1"/>
    <xf numFmtId="0" fontId="17" fillId="11" borderId="0" xfId="0" applyFont="1" applyFill="1"/>
    <xf numFmtId="164" fontId="26" fillId="12" borderId="10" xfId="0" applyNumberFormat="1" applyFont="1" applyFill="1" applyBorder="1"/>
    <xf numFmtId="164" fontId="25" fillId="6" borderId="0" xfId="0" applyNumberFormat="1" applyFont="1" applyFill="1"/>
    <xf numFmtId="0" fontId="51" fillId="6" borderId="0" xfId="0" applyFont="1" applyFill="1"/>
    <xf numFmtId="0" fontId="31" fillId="0" borderId="0" xfId="0" applyFont="1" applyBorder="1"/>
    <xf numFmtId="0" fontId="31" fillId="0" borderId="9" xfId="0" applyFont="1" applyBorder="1"/>
    <xf numFmtId="164" fontId="26" fillId="6" borderId="0" xfId="0" applyNumberFormat="1" applyFont="1" applyFill="1" applyBorder="1"/>
    <xf numFmtId="0" fontId="26" fillId="5" borderId="5" xfId="0" applyFont="1" applyFill="1" applyBorder="1"/>
    <xf numFmtId="0" fontId="55" fillId="0" borderId="8" xfId="0" applyFont="1" applyBorder="1" applyAlignment="1" applyProtection="1">
      <protection locked="0"/>
    </xf>
    <xf numFmtId="0" fontId="55" fillId="0" borderId="9" xfId="0" applyFont="1" applyBorder="1"/>
    <xf numFmtId="165" fontId="56" fillId="0" borderId="9" xfId="0" applyNumberFormat="1" applyFont="1" applyBorder="1" applyAlignment="1">
      <alignment horizontal="center"/>
    </xf>
    <xf numFmtId="165" fontId="56" fillId="0" borderId="10" xfId="0" applyNumberFormat="1" applyFont="1" applyBorder="1" applyAlignment="1">
      <alignment horizontal="center"/>
    </xf>
    <xf numFmtId="0" fontId="57" fillId="0" borderId="4" xfId="0" applyFont="1" applyBorder="1"/>
    <xf numFmtId="0" fontId="48" fillId="0" borderId="3" xfId="0" applyFont="1" applyBorder="1" applyAlignment="1" applyProtection="1">
      <protection locked="0"/>
    </xf>
    <xf numFmtId="0" fontId="58" fillId="0" borderId="4" xfId="0" applyFont="1" applyBorder="1"/>
    <xf numFmtId="165" fontId="54" fillId="0" borderId="4" xfId="0" applyNumberFormat="1" applyFont="1" applyBorder="1" applyAlignment="1">
      <alignment horizontal="center"/>
    </xf>
    <xf numFmtId="165" fontId="54" fillId="0" borderId="5" xfId="0" applyNumberFormat="1" applyFont="1" applyBorder="1" applyAlignment="1">
      <alignment horizontal="center"/>
    </xf>
    <xf numFmtId="165" fontId="59" fillId="0" borderId="0" xfId="0" applyNumberFormat="1" applyFont="1" applyBorder="1"/>
    <xf numFmtId="165" fontId="53" fillId="0" borderId="0" xfId="0" applyNumberFormat="1" applyFont="1" applyBorder="1"/>
    <xf numFmtId="0" fontId="43" fillId="14" borderId="0" xfId="0" applyFont="1" applyFill="1" applyBorder="1"/>
    <xf numFmtId="0" fontId="17" fillId="14" borderId="0" xfId="0" applyFont="1" applyFill="1" applyBorder="1"/>
    <xf numFmtId="0" fontId="50" fillId="15" borderId="9" xfId="0" applyFont="1" applyFill="1" applyBorder="1"/>
    <xf numFmtId="0" fontId="49" fillId="6" borderId="0" xfId="0" applyFont="1" applyFill="1" applyBorder="1"/>
    <xf numFmtId="165" fontId="48" fillId="6" borderId="0" xfId="0" applyNumberFormat="1" applyFont="1" applyFill="1" applyBorder="1"/>
    <xf numFmtId="0" fontId="25" fillId="5" borderId="4" xfId="0" applyFont="1" applyFill="1" applyBorder="1"/>
    <xf numFmtId="0" fontId="30" fillId="5" borderId="4" xfId="0" applyFont="1" applyFill="1" applyBorder="1"/>
    <xf numFmtId="0" fontId="53" fillId="5" borderId="4" xfId="0" applyFont="1" applyFill="1" applyBorder="1" applyAlignment="1">
      <alignment horizontal="center"/>
    </xf>
    <xf numFmtId="165" fontId="53" fillId="5" borderId="4" xfId="0" applyNumberFormat="1" applyFont="1" applyFill="1" applyBorder="1" applyAlignment="1">
      <alignment horizontal="center"/>
    </xf>
    <xf numFmtId="164" fontId="26" fillId="16" borderId="4" xfId="0" applyNumberFormat="1" applyFont="1" applyFill="1" applyBorder="1"/>
    <xf numFmtId="164" fontId="25" fillId="16" borderId="4" xfId="0" applyNumberFormat="1" applyFont="1" applyFill="1" applyBorder="1"/>
    <xf numFmtId="164" fontId="26" fillId="16" borderId="5" xfId="0" applyNumberFormat="1" applyFont="1" applyFill="1" applyBorder="1"/>
    <xf numFmtId="0" fontId="17" fillId="6" borderId="0" xfId="0" applyFont="1" applyFill="1" applyBorder="1"/>
    <xf numFmtId="0" fontId="26" fillId="6" borderId="0" xfId="0" applyFont="1" applyFill="1" applyBorder="1"/>
    <xf numFmtId="0" fontId="26" fillId="6" borderId="0" xfId="0" applyFont="1" applyFill="1" applyBorder="1" applyAlignment="1">
      <alignment vertical="top"/>
    </xf>
    <xf numFmtId="0" fontId="21" fillId="6" borderId="0" xfId="0" applyFont="1" applyFill="1" applyBorder="1"/>
    <xf numFmtId="164" fontId="53" fillId="0" borderId="0" xfId="0" applyNumberFormat="1" applyFont="1" applyBorder="1"/>
    <xf numFmtId="164" fontId="53" fillId="5" borderId="0" xfId="0" applyNumberFormat="1" applyFont="1" applyFill="1" applyBorder="1"/>
    <xf numFmtId="164" fontId="53" fillId="16" borderId="4" xfId="0" applyNumberFormat="1" applyFont="1" applyFill="1" applyBorder="1"/>
    <xf numFmtId="0" fontId="0" fillId="6" borderId="0" xfId="0" applyFill="1" applyBorder="1"/>
    <xf numFmtId="0" fontId="28" fillId="6" borderId="0" xfId="0" applyFont="1" applyFill="1" applyBorder="1"/>
    <xf numFmtId="0" fontId="48" fillId="5" borderId="3" xfId="0" applyFont="1" applyFill="1" applyBorder="1" applyAlignment="1" applyProtection="1">
      <protection locked="0"/>
    </xf>
    <xf numFmtId="165" fontId="60" fillId="0" borderId="0" xfId="0" applyNumberFormat="1" applyFont="1" applyBorder="1"/>
    <xf numFmtId="165" fontId="60" fillId="14" borderId="0" xfId="0" applyNumberFormat="1" applyFont="1" applyFill="1" applyBorder="1"/>
    <xf numFmtId="165" fontId="49" fillId="15" borderId="9" xfId="0" applyNumberFormat="1" applyFont="1" applyFill="1" applyBorder="1"/>
    <xf numFmtId="0" fontId="60" fillId="0" borderId="6" xfId="0" quotePrefix="1" applyFont="1" applyBorder="1" applyAlignment="1" applyProtection="1">
      <protection locked="0"/>
    </xf>
    <xf numFmtId="0" fontId="61" fillId="0" borderId="0" xfId="0" applyFont="1" applyBorder="1"/>
    <xf numFmtId="0" fontId="60" fillId="14" borderId="6" xfId="0" quotePrefix="1" applyFont="1" applyFill="1" applyBorder="1" applyAlignment="1" applyProtection="1">
      <protection locked="0"/>
    </xf>
    <xf numFmtId="0" fontId="61" fillId="14" borderId="0" xfId="0" applyFont="1" applyFill="1" applyBorder="1"/>
    <xf numFmtId="0" fontId="55" fillId="5" borderId="3" xfId="0" applyFont="1" applyFill="1" applyBorder="1"/>
    <xf numFmtId="0" fontId="61" fillId="5" borderId="4" xfId="0" applyFont="1" applyFill="1" applyBorder="1"/>
    <xf numFmtId="0" fontId="63" fillId="0" borderId="6" xfId="0" applyFont="1" applyBorder="1" applyAlignment="1" applyProtection="1">
      <protection locked="0"/>
    </xf>
    <xf numFmtId="0" fontId="55" fillId="5" borderId="6" xfId="0" applyFont="1" applyFill="1" applyBorder="1"/>
    <xf numFmtId="0" fontId="61" fillId="5" borderId="0" xfId="0" applyFont="1" applyFill="1" applyBorder="1"/>
    <xf numFmtId="0" fontId="63" fillId="0" borderId="8" xfId="0" applyFont="1" applyBorder="1" applyAlignment="1" applyProtection="1">
      <protection locked="0"/>
    </xf>
    <xf numFmtId="0" fontId="31" fillId="0" borderId="0" xfId="0" applyFont="1" applyBorder="1" applyAlignment="1" applyProtection="1">
      <protection locked="0"/>
    </xf>
    <xf numFmtId="0" fontId="26" fillId="6" borderId="7" xfId="0" applyFont="1" applyFill="1" applyBorder="1" applyAlignment="1">
      <alignment vertical="top"/>
    </xf>
    <xf numFmtId="164" fontId="26" fillId="6" borderId="10" xfId="0" applyNumberFormat="1" applyFont="1" applyFill="1" applyBorder="1"/>
    <xf numFmtId="0" fontId="26" fillId="0" borderId="5" xfId="0" applyFont="1" applyBorder="1"/>
    <xf numFmtId="0" fontId="26" fillId="0" borderId="7" xfId="0" applyFont="1" applyBorder="1" applyAlignment="1">
      <alignment vertical="top"/>
    </xf>
    <xf numFmtId="0" fontId="53" fillId="0" borderId="12" xfId="0" applyFont="1" applyBorder="1"/>
    <xf numFmtId="0" fontId="17" fillId="0" borderId="13" xfId="0" applyFont="1" applyBorder="1"/>
    <xf numFmtId="0" fontId="17" fillId="0" borderId="14" xfId="0" applyFont="1" applyBorder="1"/>
    <xf numFmtId="164" fontId="53" fillId="0" borderId="7" xfId="0" applyNumberFormat="1" applyFont="1" applyBorder="1"/>
    <xf numFmtId="164" fontId="53" fillId="5" borderId="7" xfId="0" applyNumberFormat="1" applyFont="1" applyFill="1" applyBorder="1"/>
    <xf numFmtId="164" fontId="28" fillId="6" borderId="0" xfId="0" applyNumberFormat="1" applyFont="1" applyFill="1"/>
    <xf numFmtId="165" fontId="53" fillId="5" borderId="5" xfId="0" applyNumberFormat="1" applyFont="1" applyFill="1" applyBorder="1" applyAlignment="1">
      <alignment horizontal="center"/>
    </xf>
    <xf numFmtId="165" fontId="60" fillId="0" borderId="7" xfId="0" applyNumberFormat="1" applyFont="1" applyBorder="1"/>
    <xf numFmtId="165" fontId="60" fillId="14" borderId="7" xfId="0" applyNumberFormat="1" applyFont="1" applyFill="1" applyBorder="1"/>
    <xf numFmtId="0" fontId="49" fillId="15" borderId="8" xfId="0" quotePrefix="1" applyFont="1" applyFill="1" applyBorder="1" applyAlignment="1" applyProtection="1">
      <protection locked="0"/>
    </xf>
    <xf numFmtId="165" fontId="49" fillId="15" borderId="10" xfId="0" applyNumberFormat="1" applyFont="1" applyFill="1" applyBorder="1"/>
    <xf numFmtId="165" fontId="48" fillId="6" borderId="7" xfId="0" applyNumberFormat="1" applyFont="1" applyFill="1" applyBorder="1"/>
    <xf numFmtId="0" fontId="49" fillId="6" borderId="0" xfId="0" quotePrefix="1" applyFont="1" applyFill="1" applyBorder="1" applyAlignment="1" applyProtection="1">
      <protection locked="0"/>
    </xf>
    <xf numFmtId="0" fontId="62" fillId="5" borderId="4" xfId="0" applyFont="1" applyFill="1" applyBorder="1"/>
    <xf numFmtId="165" fontId="55" fillId="0" borderId="7" xfId="0" applyNumberFormat="1" applyFont="1" applyBorder="1"/>
    <xf numFmtId="165" fontId="55" fillId="14" borderId="7" xfId="0" applyNumberFormat="1" applyFont="1" applyFill="1" applyBorder="1"/>
    <xf numFmtId="0" fontId="49" fillId="15" borderId="9" xfId="0" applyFont="1" applyFill="1" applyBorder="1"/>
    <xf numFmtId="165" fontId="30" fillId="6" borderId="0" xfId="0" applyNumberFormat="1" applyFont="1" applyFill="1" applyBorder="1"/>
    <xf numFmtId="0" fontId="53" fillId="5" borderId="3" xfId="0" applyFont="1" applyFill="1" applyBorder="1" applyAlignment="1">
      <alignment horizontal="center"/>
    </xf>
    <xf numFmtId="165" fontId="60" fillId="0" borderId="6" xfId="0" applyNumberFormat="1" applyFont="1" applyBorder="1"/>
    <xf numFmtId="165" fontId="60" fillId="14" borderId="6" xfId="0" applyNumberFormat="1" applyFont="1" applyFill="1" applyBorder="1"/>
    <xf numFmtId="165" fontId="49" fillId="15" borderId="8" xfId="0" applyNumberFormat="1" applyFont="1" applyFill="1" applyBorder="1"/>
    <xf numFmtId="0" fontId="53" fillId="0" borderId="4" xfId="0" applyFont="1" applyBorder="1"/>
    <xf numFmtId="3" fontId="52" fillId="13" borderId="4" xfId="0" applyNumberFormat="1" applyFont="1" applyFill="1" applyBorder="1" applyAlignment="1" applyProtection="1">
      <alignment horizontal="right"/>
      <protection locked="0"/>
    </xf>
    <xf numFmtId="0" fontId="64" fillId="0" borderId="7" xfId="0" applyFont="1" applyBorder="1"/>
    <xf numFmtId="0" fontId="64" fillId="0" borderId="0" xfId="0" applyFont="1" applyBorder="1"/>
    <xf numFmtId="164" fontId="53" fillId="12" borderId="10" xfId="0" applyNumberFormat="1" applyFont="1" applyFill="1" applyBorder="1"/>
    <xf numFmtId="164" fontId="53" fillId="10" borderId="8" xfId="0" applyNumberFormat="1" applyFont="1" applyFill="1" applyBorder="1"/>
    <xf numFmtId="164" fontId="53" fillId="7" borderId="9" xfId="0" applyNumberFormat="1" applyFont="1" applyFill="1" applyBorder="1"/>
    <xf numFmtId="164" fontId="53" fillId="7" borderId="10" xfId="0" applyNumberFormat="1" applyFont="1" applyFill="1" applyBorder="1"/>
    <xf numFmtId="0" fontId="64" fillId="0" borderId="9" xfId="0" applyFont="1" applyBorder="1"/>
    <xf numFmtId="0" fontId="64" fillId="0" borderId="10" xfId="0" applyFont="1" applyBorder="1"/>
    <xf numFmtId="0" fontId="64" fillId="0" borderId="0" xfId="0" applyFont="1" applyBorder="1" applyAlignment="1" applyProtection="1">
      <protection locked="0"/>
    </xf>
    <xf numFmtId="0" fontId="61" fillId="5" borderId="5" xfId="0" applyFont="1" applyFill="1" applyBorder="1"/>
    <xf numFmtId="0" fontId="61" fillId="0" borderId="7" xfId="0" applyFont="1" applyBorder="1"/>
    <xf numFmtId="0" fontId="61" fillId="0" borderId="9" xfId="0" applyFont="1" applyBorder="1"/>
    <xf numFmtId="0" fontId="61" fillId="0" borderId="10" xfId="0" applyFont="1" applyBorder="1"/>
    <xf numFmtId="164" fontId="53" fillId="0" borderId="9" xfId="0" applyNumberFormat="1" applyFont="1" applyBorder="1"/>
    <xf numFmtId="164" fontId="53" fillId="10" borderId="9" xfId="0" applyNumberFormat="1" applyFont="1" applyFill="1" applyBorder="1"/>
    <xf numFmtId="164" fontId="53" fillId="0" borderId="10" xfId="0" applyNumberFormat="1" applyFont="1" applyBorder="1"/>
    <xf numFmtId="165" fontId="49" fillId="15" borderId="0" xfId="0" applyNumberFormat="1" applyFont="1" applyFill="1" applyBorder="1"/>
    <xf numFmtId="165" fontId="49" fillId="15" borderId="7" xfId="0" applyNumberFormat="1" applyFont="1" applyFill="1" applyBorder="1"/>
    <xf numFmtId="0" fontId="42" fillId="0" borderId="7" xfId="0" applyFont="1" applyBorder="1"/>
    <xf numFmtId="0" fontId="43" fillId="14" borderId="7" xfId="0" applyFont="1" applyFill="1" applyBorder="1"/>
    <xf numFmtId="0" fontId="49" fillId="15" borderId="10" xfId="0" applyFont="1" applyFill="1" applyBorder="1"/>
    <xf numFmtId="0" fontId="24" fillId="0" borderId="4" xfId="0" applyFont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horizontal="center"/>
      <protection locked="0"/>
    </xf>
    <xf numFmtId="0" fontId="23" fillId="0" borderId="8" xfId="0" applyFont="1" applyBorder="1" applyAlignment="1" applyProtection="1">
      <protection locked="0"/>
    </xf>
    <xf numFmtId="0" fontId="22" fillId="0" borderId="8" xfId="0" applyFont="1" applyBorder="1" applyAlignment="1" applyProtection="1">
      <alignment horizontal="center"/>
      <protection locked="0"/>
    </xf>
    <xf numFmtId="0" fontId="24" fillId="0" borderId="9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55" fillId="0" borderId="0" xfId="0" applyFont="1" applyBorder="1"/>
    <xf numFmtId="165" fontId="56" fillId="0" borderId="0" xfId="0" applyNumberFormat="1" applyFont="1" applyBorder="1" applyAlignment="1">
      <alignment horizontal="center"/>
    </xf>
    <xf numFmtId="0" fontId="24" fillId="6" borderId="3" xfId="0" applyFont="1" applyFill="1" applyBorder="1" applyAlignment="1" applyProtection="1">
      <protection locked="0"/>
    </xf>
    <xf numFmtId="164" fontId="52" fillId="6" borderId="0" xfId="0" applyNumberFormat="1" applyFont="1" applyFill="1" applyBorder="1" applyAlignment="1" applyProtection="1">
      <alignment horizontal="right"/>
      <protection locked="0"/>
    </xf>
    <xf numFmtId="164" fontId="52" fillId="13" borderId="0" xfId="0" applyNumberFormat="1" applyFont="1" applyFill="1" applyBorder="1" applyAlignment="1" applyProtection="1">
      <alignment horizontal="right"/>
      <protection locked="0"/>
    </xf>
    <xf numFmtId="164" fontId="52" fillId="6" borderId="7" xfId="0" applyNumberFormat="1" applyFont="1" applyFill="1" applyBorder="1" applyAlignment="1" applyProtection="1">
      <alignment horizontal="right"/>
      <protection locked="0"/>
    </xf>
    <xf numFmtId="0" fontId="63" fillId="0" borderId="3" xfId="0" quotePrefix="1" applyFont="1" applyBorder="1" applyAlignment="1" applyProtection="1">
      <alignment horizontal="left"/>
      <protection locked="0"/>
    </xf>
    <xf numFmtId="164" fontId="53" fillId="6" borderId="4" xfId="0" applyNumberFormat="1" applyFont="1" applyFill="1" applyBorder="1"/>
    <xf numFmtId="164" fontId="53" fillId="0" borderId="4" xfId="0" applyNumberFormat="1" applyFont="1" applyBorder="1"/>
    <xf numFmtId="164" fontId="53" fillId="13" borderId="4" xfId="0" applyNumberFormat="1" applyFont="1" applyFill="1" applyBorder="1"/>
    <xf numFmtId="164" fontId="55" fillId="6" borderId="8" xfId="0" quotePrefix="1" applyNumberFormat="1" applyFont="1" applyFill="1" applyBorder="1"/>
    <xf numFmtId="0" fontId="53" fillId="0" borderId="9" xfId="0" applyFont="1" applyBorder="1"/>
    <xf numFmtId="164" fontId="64" fillId="0" borderId="9" xfId="0" applyNumberFormat="1" applyFont="1" applyBorder="1"/>
    <xf numFmtId="0" fontId="26" fillId="0" borderId="5" xfId="0" applyFont="1" applyBorder="1" applyAlignment="1">
      <alignment horizontal="center"/>
    </xf>
    <xf numFmtId="0" fontId="26" fillId="6" borderId="10" xfId="0" applyFont="1" applyFill="1" applyBorder="1"/>
    <xf numFmtId="0" fontId="53" fillId="12" borderId="4" xfId="0" quotePrefix="1" applyFont="1" applyFill="1" applyBorder="1"/>
    <xf numFmtId="0" fontId="53" fillId="12" borderId="4" xfId="0" applyFont="1" applyFill="1" applyBorder="1"/>
    <xf numFmtId="0" fontId="26" fillId="12" borderId="5" xfId="0" quotePrefix="1" applyFont="1" applyFill="1" applyBorder="1"/>
    <xf numFmtId="0" fontId="53" fillId="0" borderId="0" xfId="0" applyFont="1" applyBorder="1"/>
    <xf numFmtId="164" fontId="55" fillId="16" borderId="3" xfId="0" applyNumberFormat="1" applyFont="1" applyFill="1" applyBorder="1"/>
    <xf numFmtId="164" fontId="52" fillId="17" borderId="0" xfId="0" applyNumberFormat="1" applyFont="1" applyFill="1" applyBorder="1" applyAlignment="1" applyProtection="1">
      <alignment horizontal="right"/>
      <protection locked="0"/>
    </xf>
    <xf numFmtId="164" fontId="53" fillId="17" borderId="4" xfId="0" applyNumberFormat="1" applyFont="1" applyFill="1" applyBorder="1"/>
    <xf numFmtId="164" fontId="53" fillId="17" borderId="9" xfId="0" applyNumberFormat="1" applyFont="1" applyFill="1" applyBorder="1"/>
    <xf numFmtId="0" fontId="53" fillId="18" borderId="4" xfId="0" applyFont="1" applyFill="1" applyBorder="1" applyAlignment="1">
      <alignment horizontal="center"/>
    </xf>
    <xf numFmtId="164" fontId="52" fillId="6" borderId="4" xfId="0" applyNumberFormat="1" applyFont="1" applyFill="1" applyBorder="1" applyAlignment="1" applyProtection="1">
      <alignment horizontal="right"/>
      <protection locked="0"/>
    </xf>
    <xf numFmtId="164" fontId="52" fillId="6" borderId="9" xfId="0" applyNumberFormat="1" applyFont="1" applyFill="1" applyBorder="1" applyAlignment="1" applyProtection="1">
      <alignment horizontal="right"/>
      <protection locked="0"/>
    </xf>
    <xf numFmtId="2" fontId="65" fillId="15" borderId="0" xfId="0" applyNumberFormat="1" applyFont="1" applyFill="1" applyBorder="1"/>
    <xf numFmtId="0" fontId="64" fillId="6" borderId="0" xfId="0" applyFont="1" applyFill="1" applyBorder="1"/>
    <xf numFmtId="0" fontId="66" fillId="0" borderId="0" xfId="0" applyFont="1"/>
    <xf numFmtId="0" fontId="67" fillId="0" borderId="25" xfId="0" applyFont="1" applyBorder="1" applyAlignment="1">
      <alignment horizontal="center"/>
    </xf>
    <xf numFmtId="0" fontId="68" fillId="0" borderId="0" xfId="0" applyFont="1"/>
    <xf numFmtId="3" fontId="68" fillId="0" borderId="0" xfId="0" applyNumberFormat="1" applyFont="1"/>
    <xf numFmtId="0" fontId="67" fillId="0" borderId="28" xfId="0" applyFont="1" applyBorder="1"/>
    <xf numFmtId="0" fontId="67" fillId="0" borderId="29" xfId="0" applyFont="1" applyBorder="1" applyAlignment="1">
      <alignment horizontal="center"/>
    </xf>
    <xf numFmtId="0" fontId="67" fillId="0" borderId="30" xfId="0" applyFont="1" applyBorder="1" applyAlignment="1">
      <alignment horizontal="center"/>
    </xf>
    <xf numFmtId="0" fontId="68" fillId="0" borderId="25" xfId="0" applyFont="1" applyBorder="1"/>
    <xf numFmtId="0" fontId="68" fillId="0" borderId="31" xfId="0" applyFont="1" applyBorder="1"/>
    <xf numFmtId="2" fontId="69" fillId="0" borderId="32" xfId="0" applyNumberFormat="1" applyFont="1" applyBorder="1" applyAlignment="1">
      <alignment horizontal="center"/>
    </xf>
    <xf numFmtId="168" fontId="67" fillId="0" borderId="25" xfId="0" applyNumberFormat="1" applyFont="1" applyBorder="1" applyAlignment="1">
      <alignment horizontal="center"/>
    </xf>
    <xf numFmtId="3" fontId="67" fillId="0" borderId="25" xfId="0" applyNumberFormat="1" applyFont="1" applyBorder="1" applyAlignment="1">
      <alignment horizontal="center"/>
    </xf>
    <xf numFmtId="2" fontId="70" fillId="0" borderId="33" xfId="0" applyNumberFormat="1" applyFont="1" applyBorder="1" applyAlignment="1">
      <alignment horizontal="center"/>
    </xf>
    <xf numFmtId="0" fontId="67" fillId="19" borderId="30" xfId="0" applyFont="1" applyFill="1" applyBorder="1" applyAlignment="1">
      <alignment horizontal="center"/>
    </xf>
    <xf numFmtId="2" fontId="67" fillId="0" borderId="32" xfId="0" applyNumberFormat="1" applyFont="1" applyBorder="1" applyAlignment="1">
      <alignment horizontal="center"/>
    </xf>
    <xf numFmtId="0" fontId="67" fillId="0" borderId="0" xfId="0" applyFont="1"/>
    <xf numFmtId="2" fontId="68" fillId="0" borderId="0" xfId="0" applyNumberFormat="1" applyFont="1"/>
    <xf numFmtId="0" fontId="67" fillId="20" borderId="30" xfId="0" applyFont="1" applyFill="1" applyBorder="1"/>
    <xf numFmtId="3" fontId="67" fillId="0" borderId="25" xfId="0" applyNumberFormat="1" applyFont="1" applyBorder="1"/>
    <xf numFmtId="168" fontId="68" fillId="0" borderId="25" xfId="0" applyNumberFormat="1" applyFont="1" applyBorder="1"/>
    <xf numFmtId="2" fontId="71" fillId="21" borderId="25" xfId="0" applyNumberFormat="1" applyFont="1" applyFill="1" applyBorder="1"/>
    <xf numFmtId="3" fontId="68" fillId="0" borderId="25" xfId="0" applyNumberFormat="1" applyFont="1" applyBorder="1"/>
    <xf numFmtId="3" fontId="0" fillId="0" borderId="0" xfId="0" applyNumberFormat="1"/>
    <xf numFmtId="0" fontId="67" fillId="0" borderId="30" xfId="0" applyFont="1" applyBorder="1" applyAlignment="1">
      <alignment horizontal="right"/>
    </xf>
    <xf numFmtId="0" fontId="68" fillId="0" borderId="31" xfId="0" applyFont="1" applyFill="1" applyBorder="1"/>
    <xf numFmtId="0" fontId="68" fillId="22" borderId="30" xfId="0" applyFont="1" applyFill="1" applyBorder="1"/>
    <xf numFmtId="0" fontId="68" fillId="21" borderId="31" xfId="0" applyFont="1" applyFill="1" applyBorder="1"/>
    <xf numFmtId="0" fontId="68" fillId="0" borderId="30" xfId="0" applyFont="1" applyBorder="1" applyAlignment="1">
      <alignment horizontal="right"/>
    </xf>
    <xf numFmtId="3" fontId="68" fillId="23" borderId="25" xfId="0" applyNumberFormat="1" applyFont="1" applyFill="1" applyBorder="1"/>
    <xf numFmtId="168" fontId="72" fillId="24" borderId="25" xfId="0" applyNumberFormat="1" applyFont="1" applyFill="1" applyBorder="1"/>
    <xf numFmtId="4" fontId="68" fillId="0" borderId="0" xfId="0" applyNumberFormat="1" applyFont="1"/>
    <xf numFmtId="3" fontId="67" fillId="0" borderId="0" xfId="0" applyNumberFormat="1" applyFont="1"/>
    <xf numFmtId="0" fontId="68" fillId="0" borderId="34" xfId="0" applyFont="1" applyBorder="1"/>
    <xf numFmtId="0" fontId="73" fillId="0" borderId="0" xfId="0" applyFont="1"/>
    <xf numFmtId="0" fontId="74" fillId="0" borderId="0" xfId="0" applyFont="1"/>
    <xf numFmtId="3" fontId="75" fillId="0" borderId="15" xfId="0" applyNumberFormat="1" applyFont="1" applyBorder="1"/>
    <xf numFmtId="0" fontId="76" fillId="14" borderId="0" xfId="0" applyFont="1" applyFill="1"/>
    <xf numFmtId="0" fontId="67" fillId="0" borderId="30" xfId="0" applyFont="1" applyBorder="1" applyAlignment="1">
      <alignment horizontal="left"/>
    </xf>
    <xf numFmtId="2" fontId="72" fillId="24" borderId="25" xfId="0" applyNumberFormat="1" applyFont="1" applyFill="1" applyBorder="1"/>
    <xf numFmtId="170" fontId="68" fillId="25" borderId="35" xfId="0" applyNumberFormat="1" applyFont="1" applyFill="1" applyBorder="1"/>
    <xf numFmtId="0" fontId="77" fillId="0" borderId="36" xfId="0" applyFont="1" applyBorder="1" applyAlignment="1">
      <alignment horizontal="center"/>
    </xf>
    <xf numFmtId="0" fontId="74" fillId="0" borderId="37" xfId="0" applyFont="1" applyBorder="1"/>
    <xf numFmtId="0" fontId="74" fillId="26" borderId="37" xfId="0" applyFont="1" applyFill="1" applyBorder="1" applyAlignment="1">
      <alignment horizontal="center"/>
    </xf>
    <xf numFmtId="0" fontId="74" fillId="26" borderId="38" xfId="0" applyFont="1" applyFill="1" applyBorder="1" applyAlignment="1">
      <alignment horizontal="center"/>
    </xf>
    <xf numFmtId="3" fontId="67" fillId="23" borderId="25" xfId="0" applyNumberFormat="1" applyFont="1" applyFill="1" applyBorder="1"/>
    <xf numFmtId="0" fontId="74" fillId="19" borderId="39" xfId="0" applyFont="1" applyFill="1" applyBorder="1"/>
    <xf numFmtId="0" fontId="74" fillId="0" borderId="15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7" fillId="0" borderId="32" xfId="0" applyFont="1" applyBorder="1" applyAlignment="1">
      <alignment horizontal="center"/>
    </xf>
    <xf numFmtId="0" fontId="74" fillId="19" borderId="42" xfId="0" applyFont="1" applyFill="1" applyBorder="1"/>
    <xf numFmtId="0" fontId="74" fillId="0" borderId="20" xfId="0" applyFont="1" applyBorder="1"/>
    <xf numFmtId="0" fontId="78" fillId="0" borderId="43" xfId="0" applyFont="1" applyBorder="1"/>
    <xf numFmtId="2" fontId="79" fillId="26" borderId="25" xfId="0" applyNumberFormat="1" applyFont="1" applyFill="1" applyBorder="1"/>
    <xf numFmtId="0" fontId="80" fillId="0" borderId="3" xfId="0" applyFont="1" applyBorder="1"/>
    <xf numFmtId="0" fontId="74" fillId="0" borderId="4" xfId="0" applyFont="1" applyBorder="1"/>
    <xf numFmtId="168" fontId="67" fillId="0" borderId="5" xfId="0" applyNumberFormat="1" applyFont="1" applyBorder="1"/>
    <xf numFmtId="0" fontId="77" fillId="19" borderId="42" xfId="0" applyFont="1" applyFill="1" applyBorder="1" applyAlignment="1">
      <alignment horizontal="center"/>
    </xf>
    <xf numFmtId="0" fontId="81" fillId="0" borderId="0" xfId="0" applyFont="1"/>
    <xf numFmtId="0" fontId="69" fillId="0" borderId="8" xfId="0" applyFont="1" applyBorder="1"/>
    <xf numFmtId="0" fontId="69" fillId="0" borderId="9" xfId="0" applyFont="1" applyBorder="1"/>
    <xf numFmtId="0" fontId="69" fillId="0" borderId="10" xfId="0" applyFont="1" applyBorder="1"/>
    <xf numFmtId="0" fontId="74" fillId="19" borderId="44" xfId="0" applyFont="1" applyFill="1" applyBorder="1"/>
    <xf numFmtId="0" fontId="74" fillId="0" borderId="35" xfId="0" applyFont="1" applyBorder="1"/>
    <xf numFmtId="2" fontId="74" fillId="0" borderId="0" xfId="0" applyNumberFormat="1" applyFont="1"/>
    <xf numFmtId="0" fontId="68" fillId="0" borderId="30" xfId="0" applyFont="1" applyBorder="1" applyAlignment="1">
      <alignment horizontal="left"/>
    </xf>
    <xf numFmtId="164" fontId="68" fillId="0" borderId="25" xfId="0" applyNumberFormat="1" applyFont="1" applyBorder="1"/>
    <xf numFmtId="2" fontId="68" fillId="21" borderId="25" xfId="0" applyNumberFormat="1" applyFont="1" applyFill="1" applyBorder="1"/>
    <xf numFmtId="3" fontId="68" fillId="0" borderId="30" xfId="0" applyNumberFormat="1" applyFont="1" applyBorder="1"/>
    <xf numFmtId="0" fontId="80" fillId="0" borderId="0" xfId="0" applyFont="1"/>
    <xf numFmtId="2" fontId="72" fillId="21" borderId="25" xfId="0" applyNumberFormat="1" applyFont="1" applyFill="1" applyBorder="1"/>
    <xf numFmtId="0" fontId="77" fillId="0" borderId="0" xfId="0" applyFont="1"/>
    <xf numFmtId="168" fontId="74" fillId="0" borderId="0" xfId="0" applyNumberFormat="1" applyFont="1"/>
    <xf numFmtId="0" fontId="69" fillId="19" borderId="36" xfId="0" applyFont="1" applyFill="1" applyBorder="1"/>
    <xf numFmtId="0" fontId="69" fillId="0" borderId="37" xfId="0" applyFont="1" applyBorder="1" applyAlignment="1">
      <alignment horizontal="center"/>
    </xf>
    <xf numFmtId="0" fontId="69" fillId="0" borderId="45" xfId="0" applyFont="1" applyBorder="1" applyAlignment="1">
      <alignment horizontal="center"/>
    </xf>
    <xf numFmtId="0" fontId="69" fillId="21" borderId="37" xfId="0" applyFont="1" applyFill="1" applyBorder="1" applyAlignment="1">
      <alignment horizontal="center"/>
    </xf>
    <xf numFmtId="0" fontId="74" fillId="21" borderId="38" xfId="0" applyFont="1" applyFill="1" applyBorder="1" applyAlignment="1">
      <alignment horizontal="center"/>
    </xf>
    <xf numFmtId="0" fontId="69" fillId="19" borderId="26" xfId="0" applyFont="1" applyFill="1" applyBorder="1"/>
    <xf numFmtId="0" fontId="69" fillId="0" borderId="27" xfId="0" applyFont="1" applyBorder="1" applyAlignment="1">
      <alignment horizontal="center"/>
    </xf>
    <xf numFmtId="0" fontId="69" fillId="0" borderId="27" xfId="0" applyFont="1" applyBorder="1"/>
    <xf numFmtId="168" fontId="34" fillId="0" borderId="0" xfId="7" applyNumberFormat="1" applyFont="1"/>
    <xf numFmtId="168" fontId="34" fillId="0" borderId="0" xfId="7" applyNumberFormat="1" applyFont="1" applyFill="1"/>
    <xf numFmtId="164" fontId="82" fillId="0" borderId="46" xfId="0" applyNumberFormat="1" applyFont="1" applyBorder="1"/>
    <xf numFmtId="164" fontId="83" fillId="0" borderId="46" xfId="0" applyNumberFormat="1" applyFont="1" applyBorder="1"/>
    <xf numFmtId="0" fontId="78" fillId="19" borderId="26" xfId="0" applyFont="1" applyFill="1" applyBorder="1" applyAlignment="1">
      <alignment horizontal="center"/>
    </xf>
    <xf numFmtId="0" fontId="69" fillId="0" borderId="30" xfId="0" applyFont="1" applyBorder="1"/>
    <xf numFmtId="164" fontId="78" fillId="0" borderId="47" xfId="0" applyNumberFormat="1" applyFont="1" applyBorder="1"/>
    <xf numFmtId="3" fontId="68" fillId="0" borderId="15" xfId="0" applyNumberFormat="1" applyFont="1" applyBorder="1"/>
    <xf numFmtId="0" fontId="69" fillId="19" borderId="48" xfId="0" applyFont="1" applyFill="1" applyBorder="1"/>
    <xf numFmtId="0" fontId="69" fillId="0" borderId="49" xfId="0" applyFont="1" applyBorder="1" applyAlignment="1">
      <alignment horizontal="center"/>
    </xf>
    <xf numFmtId="0" fontId="69" fillId="0" borderId="49" xfId="0" applyFont="1" applyBorder="1"/>
    <xf numFmtId="0" fontId="69" fillId="0" borderId="0" xfId="0" applyFont="1"/>
    <xf numFmtId="0" fontId="69" fillId="0" borderId="50" xfId="0" applyFont="1" applyBorder="1"/>
    <xf numFmtId="164" fontId="78" fillId="26" borderId="32" xfId="0" applyNumberFormat="1" applyFont="1" applyFill="1" applyBorder="1"/>
    <xf numFmtId="0" fontId="84" fillId="0" borderId="0" xfId="0" applyFont="1"/>
    <xf numFmtId="0" fontId="0" fillId="0" borderId="45" xfId="0" applyBorder="1"/>
    <xf numFmtId="0" fontId="74" fillId="0" borderId="45" xfId="0" applyFont="1" applyBorder="1"/>
    <xf numFmtId="0" fontId="74" fillId="0" borderId="51" xfId="0" applyFont="1" applyBorder="1"/>
    <xf numFmtId="0" fontId="74" fillId="0" borderId="29" xfId="0" applyFont="1" applyBorder="1"/>
    <xf numFmtId="0" fontId="77" fillId="19" borderId="52" xfId="0" applyFont="1" applyFill="1" applyBorder="1" applyAlignment="1">
      <alignment horizontal="center"/>
    </xf>
    <xf numFmtId="0" fontId="0" fillId="0" borderId="27" xfId="0" applyBorder="1"/>
    <xf numFmtId="0" fontId="69" fillId="0" borderId="53" xfId="0" applyFont="1" applyBorder="1"/>
    <xf numFmtId="0" fontId="74" fillId="0" borderId="40" xfId="0" applyFont="1" applyBorder="1"/>
    <xf numFmtId="0" fontId="74" fillId="0" borderId="32" xfId="0" applyFont="1" applyBorder="1"/>
    <xf numFmtId="0" fontId="67" fillId="19" borderId="30" xfId="0" applyFont="1" applyFill="1" applyBorder="1"/>
    <xf numFmtId="0" fontId="77" fillId="19" borderId="54" xfId="0" applyFont="1" applyFill="1" applyBorder="1" applyAlignment="1">
      <alignment horizontal="center"/>
    </xf>
    <xf numFmtId="0" fontId="69" fillId="14" borderId="6" xfId="0" applyFont="1" applyFill="1" applyBorder="1" applyAlignment="1">
      <alignment horizontal="right"/>
    </xf>
    <xf numFmtId="0" fontId="79" fillId="0" borderId="55" xfId="0" applyFont="1" applyBorder="1"/>
    <xf numFmtId="2" fontId="69" fillId="0" borderId="40" xfId="0" applyNumberFormat="1" applyFont="1" applyBorder="1"/>
    <xf numFmtId="2" fontId="69" fillId="0" borderId="32" xfId="0" applyNumberFormat="1" applyFont="1" applyBorder="1"/>
    <xf numFmtId="0" fontId="85" fillId="0" borderId="0" xfId="0" applyFont="1"/>
    <xf numFmtId="0" fontId="77" fillId="19" borderId="56" xfId="0" applyFont="1" applyFill="1" applyBorder="1" applyAlignment="1">
      <alignment horizontal="center"/>
    </xf>
    <xf numFmtId="164" fontId="79" fillId="0" borderId="55" xfId="0" applyNumberFormat="1" applyFont="1" applyBorder="1"/>
    <xf numFmtId="0" fontId="76" fillId="0" borderId="0" xfId="0" applyFont="1"/>
    <xf numFmtId="0" fontId="74" fillId="0" borderId="27" xfId="0" applyFont="1" applyBorder="1"/>
    <xf numFmtId="0" fontId="67" fillId="27" borderId="30" xfId="0" applyFont="1" applyFill="1" applyBorder="1"/>
    <xf numFmtId="0" fontId="27" fillId="0" borderId="0" xfId="1" applyNumberFormat="1" applyFill="1" applyBorder="1" applyAlignment="1" applyProtection="1">
      <alignment horizontal="left"/>
    </xf>
    <xf numFmtId="0" fontId="81" fillId="0" borderId="6" xfId="0" applyFont="1" applyBorder="1" applyAlignment="1">
      <alignment horizontal="right"/>
    </xf>
    <xf numFmtId="0" fontId="74" fillId="0" borderId="49" xfId="0" applyFont="1" applyBorder="1"/>
    <xf numFmtId="0" fontId="85" fillId="0" borderId="8" xfId="0" applyFont="1" applyBorder="1"/>
    <xf numFmtId="0" fontId="79" fillId="0" borderId="57" xfId="0" applyFont="1" applyBorder="1"/>
    <xf numFmtId="0" fontId="74" fillId="0" borderId="58" xfId="0" applyFont="1" applyBorder="1"/>
    <xf numFmtId="0" fontId="74" fillId="0" borderId="59" xfId="0" applyFont="1" applyBorder="1"/>
    <xf numFmtId="0" fontId="33" fillId="0" borderId="0" xfId="0" applyFont="1"/>
    <xf numFmtId="0" fontId="69" fillId="0" borderId="25" xfId="0" applyFont="1" applyBorder="1" applyAlignment="1">
      <alignment horizontal="center"/>
    </xf>
    <xf numFmtId="3" fontId="69" fillId="0" borderId="0" xfId="0" applyNumberFormat="1" applyFont="1"/>
    <xf numFmtId="0" fontId="82" fillId="26" borderId="0" xfId="0" applyFont="1" applyFill="1" applyAlignment="1">
      <alignment horizontal="center"/>
    </xf>
    <xf numFmtId="0" fontId="78" fillId="19" borderId="52" xfId="0" applyFont="1" applyFill="1" applyBorder="1" applyAlignment="1">
      <alignment horizontal="center"/>
    </xf>
    <xf numFmtId="0" fontId="69" fillId="0" borderId="25" xfId="0" applyFont="1" applyBorder="1"/>
    <xf numFmtId="164" fontId="82" fillId="0" borderId="25" xfId="0" applyNumberFormat="1" applyFont="1" applyBorder="1"/>
    <xf numFmtId="0" fontId="78" fillId="19" borderId="54" xfId="0" applyFont="1" applyFill="1" applyBorder="1" applyAlignment="1">
      <alignment horizontal="center"/>
    </xf>
    <xf numFmtId="0" fontId="78" fillId="19" borderId="56" xfId="0" applyFont="1" applyFill="1" applyBorder="1" applyAlignment="1">
      <alignment horizontal="center"/>
    </xf>
    <xf numFmtId="164" fontId="82" fillId="12" borderId="25" xfId="0" applyNumberFormat="1" applyFont="1" applyFill="1" applyBorder="1"/>
    <xf numFmtId="4" fontId="72" fillId="24" borderId="25" xfId="0" applyNumberFormat="1" applyFont="1" applyFill="1" applyBorder="1"/>
    <xf numFmtId="0" fontId="86" fillId="0" borderId="0" xfId="1" applyNumberFormat="1" applyFont="1" applyFill="1" applyBorder="1" applyAlignment="1" applyProtection="1">
      <alignment horizontal="left"/>
    </xf>
    <xf numFmtId="0" fontId="0" fillId="0" borderId="4" xfId="0" applyBorder="1"/>
    <xf numFmtId="0" fontId="0" fillId="0" borderId="5" xfId="0" applyBorder="1"/>
    <xf numFmtId="0" fontId="87" fillId="0" borderId="3" xfId="0" applyFont="1" applyBorder="1"/>
    <xf numFmtId="0" fontId="69" fillId="0" borderId="60" xfId="0" applyFont="1" applyBorder="1" applyAlignment="1">
      <alignment horizontal="center"/>
    </xf>
    <xf numFmtId="0" fontId="87" fillId="0" borderId="6" xfId="0" applyFont="1" applyBorder="1"/>
    <xf numFmtId="0" fontId="87" fillId="0" borderId="0" xfId="0" applyFont="1"/>
    <xf numFmtId="0" fontId="87" fillId="0" borderId="7" xfId="0" applyFont="1" applyBorder="1"/>
    <xf numFmtId="164" fontId="68" fillId="28" borderId="25" xfId="0" applyNumberFormat="1" applyFont="1" applyFill="1" applyBorder="1"/>
    <xf numFmtId="0" fontId="77" fillId="0" borderId="60" xfId="0" applyFont="1" applyBorder="1"/>
    <xf numFmtId="0" fontId="77" fillId="0" borderId="61" xfId="0" applyFont="1" applyBorder="1"/>
    <xf numFmtId="0" fontId="74" fillId="0" borderId="38" xfId="0" applyFont="1" applyBorder="1"/>
    <xf numFmtId="0" fontId="87" fillId="29" borderId="6" xfId="0" applyFont="1" applyFill="1" applyBorder="1"/>
    <xf numFmtId="164" fontId="72" fillId="24" borderId="25" xfId="0" applyNumberFormat="1" applyFont="1" applyFill="1" applyBorder="1"/>
    <xf numFmtId="0" fontId="77" fillId="30" borderId="34" xfId="0" applyFont="1" applyFill="1" applyBorder="1"/>
    <xf numFmtId="0" fontId="69" fillId="0" borderId="62" xfId="0" applyFont="1" applyBorder="1"/>
    <xf numFmtId="2" fontId="69" fillId="0" borderId="62" xfId="0" applyNumberFormat="1" applyFont="1" applyBorder="1"/>
    <xf numFmtId="2" fontId="69" fillId="31" borderId="63" xfId="0" applyNumberFormat="1" applyFont="1" applyFill="1" applyBorder="1"/>
    <xf numFmtId="0" fontId="87" fillId="29" borderId="8" xfId="0" applyFont="1" applyFill="1" applyBorder="1"/>
    <xf numFmtId="0" fontId="87" fillId="0" borderId="9" xfId="0" applyFont="1" applyBorder="1"/>
    <xf numFmtId="0" fontId="87" fillId="0" borderId="10" xfId="0" applyFont="1" applyBorder="1"/>
    <xf numFmtId="0" fontId="68" fillId="0" borderId="7" xfId="0" applyFont="1" applyBorder="1"/>
    <xf numFmtId="0" fontId="0" fillId="0" borderId="9" xfId="0" applyBorder="1"/>
    <xf numFmtId="0" fontId="68" fillId="0" borderId="10" xfId="0" applyFont="1" applyBorder="1"/>
    <xf numFmtId="0" fontId="88" fillId="0" borderId="0" xfId="0" applyFont="1"/>
    <xf numFmtId="0" fontId="74" fillId="0" borderId="60" xfId="0" applyFont="1" applyBorder="1"/>
    <xf numFmtId="0" fontId="74" fillId="0" borderId="64" xfId="0" applyFont="1" applyBorder="1"/>
    <xf numFmtId="0" fontId="74" fillId="21" borderId="65" xfId="0" applyFont="1" applyFill="1" applyBorder="1" applyAlignment="1">
      <alignment horizontal="center"/>
    </xf>
    <xf numFmtId="2" fontId="79" fillId="0" borderId="0" xfId="0" applyNumberFormat="1" applyFont="1"/>
    <xf numFmtId="0" fontId="74" fillId="0" borderId="31" xfId="0" applyFont="1" applyBorder="1"/>
    <xf numFmtId="0" fontId="74" fillId="0" borderId="66" xfId="0" applyFont="1" applyBorder="1"/>
    <xf numFmtId="2" fontId="82" fillId="0" borderId="31" xfId="0" applyNumberFormat="1" applyFont="1" applyBorder="1"/>
    <xf numFmtId="2" fontId="82" fillId="0" borderId="41" xfId="0" applyNumberFormat="1" applyFont="1" applyBorder="1"/>
    <xf numFmtId="2" fontId="79" fillId="0" borderId="41" xfId="0" applyNumberFormat="1" applyFont="1" applyBorder="1"/>
    <xf numFmtId="2" fontId="69" fillId="0" borderId="41" xfId="0" applyNumberFormat="1" applyFont="1" applyBorder="1"/>
    <xf numFmtId="2" fontId="79" fillId="0" borderId="31" xfId="0" applyNumberFormat="1" applyFont="1" applyBorder="1"/>
    <xf numFmtId="0" fontId="67" fillId="32" borderId="30" xfId="0" applyFont="1" applyFill="1" applyBorder="1"/>
    <xf numFmtId="0" fontId="74" fillId="30" borderId="31" xfId="0" applyFont="1" applyFill="1" applyBorder="1"/>
    <xf numFmtId="3" fontId="69" fillId="30" borderId="31" xfId="0" applyNumberFormat="1" applyFont="1" applyFill="1" applyBorder="1"/>
    <xf numFmtId="3" fontId="69" fillId="30" borderId="41" xfId="0" applyNumberFormat="1" applyFont="1" applyFill="1" applyBorder="1"/>
    <xf numFmtId="2" fontId="69" fillId="30" borderId="41" xfId="0" applyNumberFormat="1" applyFont="1" applyFill="1" applyBorder="1"/>
    <xf numFmtId="2" fontId="69" fillId="30" borderId="32" xfId="0" applyNumberFormat="1" applyFont="1" applyFill="1" applyBorder="1"/>
    <xf numFmtId="164" fontId="74" fillId="0" borderId="0" xfId="0" applyNumberFormat="1" applyFont="1"/>
    <xf numFmtId="0" fontId="74" fillId="0" borderId="34" xfId="0" applyFont="1" applyBorder="1"/>
    <xf numFmtId="164" fontId="74" fillId="0" borderId="67" xfId="0" applyNumberFormat="1" applyFont="1" applyBorder="1"/>
    <xf numFmtId="164" fontId="74" fillId="0" borderId="34" xfId="0" applyNumberFormat="1" applyFont="1" applyBorder="1"/>
    <xf numFmtId="164" fontId="74" fillId="0" borderId="62" xfId="0" applyNumberFormat="1" applyFont="1" applyBorder="1"/>
    <xf numFmtId="2" fontId="69" fillId="0" borderId="63" xfId="0" applyNumberFormat="1" applyFont="1" applyBorder="1"/>
    <xf numFmtId="0" fontId="75" fillId="14" borderId="0" xfId="0" applyFont="1" applyFill="1"/>
    <xf numFmtId="0" fontId="67" fillId="19" borderId="25" xfId="0" applyFont="1" applyFill="1" applyBorder="1" applyAlignment="1">
      <alignment horizontal="center" vertical="center"/>
    </xf>
    <xf numFmtId="0" fontId="68" fillId="0" borderId="68" xfId="0" applyFont="1" applyBorder="1"/>
    <xf numFmtId="0" fontId="68" fillId="0" borderId="69" xfId="0" applyFont="1" applyBorder="1" applyAlignment="1">
      <alignment horizontal="center"/>
    </xf>
    <xf numFmtId="0" fontId="68" fillId="0" borderId="56" xfId="0" applyFont="1" applyBorder="1" applyAlignment="1">
      <alignment horizontal="center"/>
    </xf>
    <xf numFmtId="0" fontId="68" fillId="0" borderId="70" xfId="0" applyFont="1" applyBorder="1" applyAlignment="1">
      <alignment horizontal="center"/>
    </xf>
    <xf numFmtId="0" fontId="68" fillId="0" borderId="71" xfId="0" applyFont="1" applyBorder="1" applyAlignment="1">
      <alignment horizontal="center"/>
    </xf>
    <xf numFmtId="0" fontId="89" fillId="0" borderId="72" xfId="0" applyFont="1" applyBorder="1"/>
    <xf numFmtId="2" fontId="68" fillId="0" borderId="40" xfId="0" applyNumberFormat="1" applyFont="1" applyBorder="1" applyAlignment="1">
      <alignment horizontal="right"/>
    </xf>
    <xf numFmtId="2" fontId="72" fillId="33" borderId="52" xfId="0" applyNumberFormat="1" applyFont="1" applyFill="1" applyBorder="1"/>
    <xf numFmtId="2" fontId="68" fillId="0" borderId="32" xfId="0" applyNumberFormat="1" applyFont="1" applyBorder="1"/>
    <xf numFmtId="164" fontId="68" fillId="0" borderId="34" xfId="0" applyNumberFormat="1" applyFont="1" applyBorder="1"/>
    <xf numFmtId="164" fontId="72" fillId="0" borderId="62" xfId="0" applyNumberFormat="1" applyFont="1" applyBorder="1"/>
    <xf numFmtId="2" fontId="68" fillId="0" borderId="63" xfId="0" applyNumberFormat="1" applyFont="1" applyBorder="1"/>
    <xf numFmtId="164" fontId="68" fillId="0" borderId="73" xfId="0" applyNumberFormat="1" applyFont="1" applyBorder="1"/>
    <xf numFmtId="0" fontId="90" fillId="0" borderId="74" xfId="0" applyFont="1" applyBorder="1"/>
    <xf numFmtId="2" fontId="68" fillId="0" borderId="34" xfId="0" applyNumberFormat="1" applyFont="1" applyBorder="1" applyAlignment="1">
      <alignment horizontal="right"/>
    </xf>
    <xf numFmtId="164" fontId="91" fillId="0" borderId="75" xfId="0" applyNumberFormat="1" applyFont="1" applyBorder="1"/>
    <xf numFmtId="0" fontId="92" fillId="0" borderId="54" xfId="0" applyFont="1" applyBorder="1"/>
    <xf numFmtId="0" fontId="67" fillId="19" borderId="25" xfId="0" applyFont="1" applyFill="1" applyBorder="1" applyAlignment="1">
      <alignment horizontal="center"/>
    </xf>
    <xf numFmtId="2" fontId="68" fillId="21" borderId="25" xfId="0" applyNumberFormat="1" applyFont="1" applyFill="1" applyBorder="1" applyAlignment="1">
      <alignment horizontal="center"/>
    </xf>
    <xf numFmtId="0" fontId="68" fillId="21" borderId="25" xfId="0" applyFont="1" applyFill="1" applyBorder="1" applyAlignment="1">
      <alignment horizontal="center"/>
    </xf>
    <xf numFmtId="0" fontId="68" fillId="21" borderId="0" xfId="0" applyFont="1" applyFill="1" applyBorder="1" applyAlignment="1">
      <alignment horizontal="center"/>
    </xf>
    <xf numFmtId="0" fontId="68" fillId="0" borderId="30" xfId="0" applyFont="1" applyBorder="1"/>
    <xf numFmtId="0" fontId="67" fillId="0" borderId="25" xfId="0" applyFont="1" applyBorder="1" applyAlignment="1">
      <alignment horizontal="right"/>
    </xf>
    <xf numFmtId="2" fontId="72" fillId="0" borderId="25" xfId="0" applyNumberFormat="1" applyFont="1" applyBorder="1"/>
    <xf numFmtId="2" fontId="69" fillId="0" borderId="0" xfId="0" applyNumberFormat="1" applyFont="1"/>
    <xf numFmtId="0" fontId="90" fillId="0" borderId="25" xfId="0" applyFont="1" applyBorder="1" applyAlignment="1">
      <alignment horizontal="right"/>
    </xf>
    <xf numFmtId="2" fontId="93" fillId="0" borderId="25" xfId="0" applyNumberFormat="1" applyFont="1" applyBorder="1"/>
    <xf numFmtId="0" fontId="68" fillId="20" borderId="25" xfId="0" applyFont="1" applyFill="1" applyBorder="1"/>
    <xf numFmtId="0" fontId="67" fillId="20" borderId="25" xfId="0" applyFont="1" applyFill="1" applyBorder="1" applyAlignment="1">
      <alignment horizontal="right"/>
    </xf>
    <xf numFmtId="0" fontId="90" fillId="0" borderId="0" xfId="0" applyFont="1"/>
    <xf numFmtId="0" fontId="68" fillId="14" borderId="0" xfId="0" applyFont="1" applyFill="1"/>
    <xf numFmtId="0" fontId="68" fillId="21" borderId="76" xfId="0" applyFont="1" applyFill="1" applyBorder="1" applyAlignment="1">
      <alignment horizontal="center"/>
    </xf>
    <xf numFmtId="0" fontId="68" fillId="21" borderId="77" xfId="0" applyFont="1" applyFill="1" applyBorder="1" applyAlignment="1">
      <alignment horizontal="center"/>
    </xf>
    <xf numFmtId="0" fontId="68" fillId="21" borderId="78" xfId="0" applyFont="1" applyFill="1" applyBorder="1" applyAlignment="1">
      <alignment horizontal="center"/>
    </xf>
    <xf numFmtId="0" fontId="67" fillId="19" borderId="60" xfId="0" applyFont="1" applyFill="1" applyBorder="1"/>
    <xf numFmtId="0" fontId="68" fillId="0" borderId="37" xfId="0" applyFont="1" applyBorder="1"/>
    <xf numFmtId="0" fontId="68" fillId="0" borderId="61" xfId="0" applyFont="1" applyBorder="1" applyAlignment="1">
      <alignment horizontal="left"/>
    </xf>
    <xf numFmtId="0" fontId="68" fillId="0" borderId="65" xfId="0" applyFont="1" applyBorder="1" applyAlignment="1">
      <alignment horizontal="left"/>
    </xf>
    <xf numFmtId="0" fontId="67" fillId="34" borderId="30" xfId="0" applyFont="1" applyFill="1" applyBorder="1"/>
    <xf numFmtId="3" fontId="67" fillId="5" borderId="25" xfId="0" applyNumberFormat="1" applyFont="1" applyFill="1" applyBorder="1"/>
    <xf numFmtId="168" fontId="68" fillId="5" borderId="25" xfId="0" applyNumberFormat="1" applyFont="1" applyFill="1" applyBorder="1"/>
    <xf numFmtId="3" fontId="68" fillId="5" borderId="25" xfId="0" applyNumberFormat="1" applyFont="1" applyFill="1" applyBorder="1"/>
    <xf numFmtId="0" fontId="67" fillId="24" borderId="79" xfId="0" applyFont="1" applyFill="1" applyBorder="1" applyAlignment="1">
      <alignment horizontal="left"/>
    </xf>
    <xf numFmtId="0" fontId="68" fillId="0" borderId="80" xfId="0" applyFont="1" applyBorder="1"/>
    <xf numFmtId="0" fontId="68" fillId="0" borderId="81" xfId="0" applyFont="1" applyBorder="1"/>
    <xf numFmtId="2" fontId="72" fillId="0" borderId="41" xfId="0" applyNumberFormat="1" applyFont="1" applyBorder="1"/>
    <xf numFmtId="2" fontId="72" fillId="0" borderId="32" xfId="0" applyNumberFormat="1" applyFont="1" applyBorder="1"/>
    <xf numFmtId="0" fontId="67" fillId="24" borderId="27" xfId="0" applyFont="1" applyFill="1" applyBorder="1" applyAlignment="1">
      <alignment horizontal="left"/>
    </xf>
    <xf numFmtId="0" fontId="68" fillId="0" borderId="82" xfId="0" applyFont="1" applyBorder="1"/>
    <xf numFmtId="0" fontId="67" fillId="20" borderId="49" xfId="0" applyFont="1" applyFill="1" applyBorder="1" applyAlignment="1">
      <alignment horizontal="left"/>
    </xf>
    <xf numFmtId="0" fontId="68" fillId="0" borderId="58" xfId="0" applyFont="1" applyBorder="1"/>
    <xf numFmtId="0" fontId="68" fillId="0" borderId="83" xfId="0" applyFont="1" applyBorder="1"/>
    <xf numFmtId="2" fontId="72" fillId="0" borderId="62" xfId="0" applyNumberFormat="1" applyFont="1" applyBorder="1"/>
    <xf numFmtId="2" fontId="72" fillId="0" borderId="63" xfId="0" applyNumberFormat="1" applyFont="1" applyBorder="1"/>
    <xf numFmtId="0" fontId="68" fillId="0" borderId="84" xfId="0" applyFont="1" applyBorder="1"/>
    <xf numFmtId="2" fontId="72" fillId="14" borderId="62" xfId="0" applyNumberFormat="1" applyFont="1" applyFill="1" applyBorder="1"/>
    <xf numFmtId="2" fontId="72" fillId="14" borderId="63" xfId="0" applyNumberFormat="1" applyFont="1" applyFill="1" applyBorder="1"/>
    <xf numFmtId="0" fontId="68" fillId="35" borderId="25" xfId="0" applyFont="1" applyFill="1" applyBorder="1" applyAlignment="1">
      <alignment horizontal="center"/>
    </xf>
    <xf numFmtId="164" fontId="72" fillId="0" borderId="25" xfId="0" applyNumberFormat="1" applyFont="1" applyBorder="1"/>
    <xf numFmtId="2" fontId="68" fillId="0" borderId="25" xfId="0" applyNumberFormat="1" applyFont="1" applyBorder="1"/>
    <xf numFmtId="0" fontId="92" fillId="0" borderId="0" xfId="0" applyFont="1"/>
    <xf numFmtId="171" fontId="68" fillId="0" borderId="0" xfId="0" applyNumberFormat="1" applyFont="1"/>
    <xf numFmtId="0" fontId="68" fillId="0" borderId="60" xfId="0" applyFont="1" applyBorder="1"/>
    <xf numFmtId="0" fontId="68" fillId="0" borderId="61" xfId="0" applyFont="1" applyBorder="1"/>
    <xf numFmtId="0" fontId="68" fillId="0" borderId="65" xfId="0" applyFont="1" applyBorder="1"/>
    <xf numFmtId="3" fontId="67" fillId="0" borderId="0" xfId="0" applyNumberFormat="1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68" fillId="0" borderId="0" xfId="0" applyFont="1" applyAlignment="1">
      <alignment horizontal="right"/>
    </xf>
    <xf numFmtId="0" fontId="68" fillId="0" borderId="85" xfId="0" applyFont="1" applyBorder="1"/>
    <xf numFmtId="2" fontId="68" fillId="0" borderId="52" xfId="0" applyNumberFormat="1" applyFont="1" applyBorder="1"/>
    <xf numFmtId="0" fontId="68" fillId="0" borderId="45" xfId="0" applyFont="1" applyBorder="1"/>
    <xf numFmtId="0" fontId="68" fillId="36" borderId="25" xfId="0" applyFont="1" applyFill="1" applyBorder="1"/>
    <xf numFmtId="0" fontId="68" fillId="0" borderId="27" xfId="0" applyFont="1" applyBorder="1"/>
    <xf numFmtId="168" fontId="67" fillId="0" borderId="0" xfId="0" applyNumberFormat="1" applyFont="1" applyAlignment="1">
      <alignment horizontal="center" vertical="center"/>
    </xf>
    <xf numFmtId="0" fontId="68" fillId="0" borderId="49" xfId="0" applyFont="1" applyBorder="1"/>
    <xf numFmtId="0" fontId="78" fillId="0" borderId="0" xfId="0" applyFont="1"/>
    <xf numFmtId="0" fontId="81" fillId="0" borderId="0" xfId="0" applyFont="1" applyAlignment="1">
      <alignment horizontal="right"/>
    </xf>
    <xf numFmtId="0" fontId="67" fillId="0" borderId="25" xfId="0" applyFont="1" applyBorder="1"/>
    <xf numFmtId="3" fontId="68" fillId="24" borderId="0" xfId="0" applyNumberFormat="1" applyFont="1" applyFill="1"/>
    <xf numFmtId="172" fontId="68" fillId="0" borderId="0" xfId="0" applyNumberFormat="1" applyFont="1"/>
    <xf numFmtId="3" fontId="81" fillId="0" borderId="0" xfId="0" applyNumberFormat="1" applyFont="1"/>
    <xf numFmtId="0" fontId="67" fillId="0" borderId="25" xfId="0" applyFont="1" applyBorder="1" applyAlignment="1">
      <alignment horizontal="center" vertical="center"/>
    </xf>
    <xf numFmtId="168" fontId="67" fillId="0" borderId="25" xfId="0" applyNumberFormat="1" applyFont="1" applyBorder="1" applyAlignment="1">
      <alignment horizontal="center" vertical="center"/>
    </xf>
    <xf numFmtId="3" fontId="67" fillId="0" borderId="25" xfId="0" applyNumberFormat="1" applyFont="1" applyBorder="1" applyAlignment="1">
      <alignment horizontal="center" vertical="center"/>
    </xf>
    <xf numFmtId="3" fontId="94" fillId="37" borderId="0" xfId="0" applyNumberFormat="1" applyFont="1" applyFill="1"/>
    <xf numFmtId="3" fontId="68" fillId="19" borderId="0" xfId="0" applyNumberFormat="1" applyFont="1" applyFill="1"/>
    <xf numFmtId="0" fontId="95" fillId="32" borderId="30" xfId="0" applyFont="1" applyFill="1" applyBorder="1"/>
    <xf numFmtId="3" fontId="78" fillId="0" borderId="0" xfId="0" applyNumberFormat="1" applyFont="1"/>
    <xf numFmtId="0" fontId="69" fillId="38" borderId="5" xfId="0" applyFont="1" applyFill="1" applyBorder="1"/>
    <xf numFmtId="3" fontId="68" fillId="39" borderId="25" xfId="0" applyNumberFormat="1" applyFont="1" applyFill="1" applyBorder="1"/>
    <xf numFmtId="3" fontId="67" fillId="0" borderId="30" xfId="0" applyNumberFormat="1" applyFont="1" applyBorder="1"/>
    <xf numFmtId="3" fontId="69" fillId="38" borderId="3" xfId="0" applyNumberFormat="1" applyFont="1" applyFill="1" applyBorder="1"/>
    <xf numFmtId="3" fontId="81" fillId="0" borderId="0" xfId="0" applyNumberFormat="1" applyFont="1" applyAlignment="1">
      <alignment horizontal="right"/>
    </xf>
    <xf numFmtId="2" fontId="67" fillId="0" borderId="25" xfId="0" applyNumberFormat="1" applyFont="1" applyBorder="1"/>
    <xf numFmtId="3" fontId="67" fillId="26" borderId="25" xfId="0" applyNumberFormat="1" applyFont="1" applyFill="1" applyBorder="1"/>
    <xf numFmtId="3" fontId="69" fillId="38" borderId="6" xfId="0" applyNumberFormat="1" applyFont="1" applyFill="1" applyBorder="1"/>
    <xf numFmtId="0" fontId="69" fillId="38" borderId="7" xfId="0" applyFont="1" applyFill="1" applyBorder="1"/>
    <xf numFmtId="3" fontId="69" fillId="38" borderId="8" xfId="0" applyNumberFormat="1" applyFont="1" applyFill="1" applyBorder="1"/>
    <xf numFmtId="3" fontId="69" fillId="38" borderId="10" xfId="0" applyNumberFormat="1" applyFont="1" applyFill="1" applyBorder="1"/>
    <xf numFmtId="3" fontId="96" fillId="12" borderId="0" xfId="0" applyNumberFormat="1" applyFont="1" applyFill="1"/>
    <xf numFmtId="0" fontId="67" fillId="0" borderId="25" xfId="0" applyFont="1" applyBorder="1" applyAlignment="1">
      <alignment horizontal="center" vertical="center" wrapText="1"/>
    </xf>
    <xf numFmtId="3" fontId="0" fillId="12" borderId="0" xfId="0" applyNumberFormat="1" applyFill="1"/>
    <xf numFmtId="1" fontId="68" fillId="16" borderId="0" xfId="0" applyNumberFormat="1" applyFont="1" applyFill="1"/>
    <xf numFmtId="4" fontId="68" fillId="0" borderId="25" xfId="0" applyNumberFormat="1" applyFont="1" applyBorder="1"/>
    <xf numFmtId="3" fontId="97" fillId="26" borderId="0" xfId="0" applyNumberFormat="1" applyFont="1" applyFill="1"/>
    <xf numFmtId="173" fontId="68" fillId="0" borderId="0" xfId="0" applyNumberFormat="1" applyFont="1"/>
    <xf numFmtId="1" fontId="68" fillId="0" borderId="0" xfId="0" applyNumberFormat="1" applyFont="1"/>
    <xf numFmtId="4" fontId="67" fillId="0" borderId="25" xfId="0" applyNumberFormat="1" applyFont="1" applyBorder="1"/>
    <xf numFmtId="164" fontId="98" fillId="0" borderId="2" xfId="0" applyNumberFormat="1" applyFont="1" applyBorder="1"/>
    <xf numFmtId="2" fontId="72" fillId="21" borderId="43" xfId="0" applyNumberFormat="1" applyFont="1" applyFill="1" applyBorder="1"/>
    <xf numFmtId="4" fontId="0" fillId="0" borderId="0" xfId="0" applyNumberFormat="1"/>
    <xf numFmtId="0" fontId="67" fillId="0" borderId="40" xfId="0" applyFont="1" applyBorder="1" applyAlignment="1">
      <alignment horizontal="center"/>
    </xf>
    <xf numFmtId="171" fontId="81" fillId="0" borderId="0" xfId="0" applyNumberFormat="1" applyFont="1" applyAlignment="1">
      <alignment horizontal="right"/>
    </xf>
    <xf numFmtId="0" fontId="67" fillId="0" borderId="81" xfId="0" applyFont="1" applyBorder="1" applyAlignment="1">
      <alignment horizontal="center" vertical="center"/>
    </xf>
    <xf numFmtId="0" fontId="67" fillId="0" borderId="41" xfId="0" applyFont="1" applyBorder="1" applyAlignment="1">
      <alignment horizontal="center" vertical="center" wrapText="1"/>
    </xf>
    <xf numFmtId="0" fontId="67" fillId="0" borderId="41" xfId="0" applyFont="1" applyBorder="1" applyAlignment="1">
      <alignment horizontal="center" vertical="center"/>
    </xf>
    <xf numFmtId="2" fontId="68" fillId="0" borderId="48" xfId="0" applyNumberFormat="1" applyFont="1" applyBorder="1"/>
    <xf numFmtId="3" fontId="98" fillId="0" borderId="25" xfId="0" applyNumberFormat="1" applyFont="1" applyBorder="1"/>
    <xf numFmtId="3" fontId="68" fillId="0" borderId="40" xfId="0" applyNumberFormat="1" applyFont="1" applyBorder="1"/>
    <xf numFmtId="0" fontId="68" fillId="0" borderId="41" xfId="0" applyFont="1" applyBorder="1"/>
    <xf numFmtId="2" fontId="68" fillId="0" borderId="41" xfId="0" applyNumberFormat="1" applyFont="1" applyBorder="1"/>
    <xf numFmtId="4" fontId="68" fillId="0" borderId="41" xfId="0" applyNumberFormat="1" applyFont="1" applyBorder="1"/>
    <xf numFmtId="0" fontId="99" fillId="0" borderId="25" xfId="0" applyFont="1" applyBorder="1"/>
    <xf numFmtId="0" fontId="99" fillId="12" borderId="25" xfId="0" applyFont="1" applyFill="1" applyBorder="1"/>
    <xf numFmtId="0" fontId="72" fillId="0" borderId="0" xfId="0" applyFont="1"/>
    <xf numFmtId="0" fontId="100" fillId="0" borderId="0" xfId="0" applyFont="1"/>
    <xf numFmtId="4" fontId="67" fillId="5" borderId="0" xfId="0" applyNumberFormat="1" applyFont="1" applyFill="1"/>
    <xf numFmtId="4" fontId="75" fillId="0" borderId="0" xfId="0" applyNumberFormat="1" applyFont="1"/>
    <xf numFmtId="4" fontId="67" fillId="0" borderId="0" xfId="0" applyNumberFormat="1" applyFont="1"/>
    <xf numFmtId="3" fontId="101" fillId="0" borderId="25" xfId="0" applyNumberFormat="1" applyFont="1" applyBorder="1"/>
    <xf numFmtId="0" fontId="67" fillId="0" borderId="30" xfId="0" applyFont="1" applyBorder="1" applyAlignment="1">
      <alignment horizontal="center" vertical="center"/>
    </xf>
    <xf numFmtId="0" fontId="78" fillId="0" borderId="25" xfId="0" applyFont="1" applyBorder="1"/>
    <xf numFmtId="1" fontId="68" fillId="21" borderId="41" xfId="0" applyNumberFormat="1" applyFont="1" applyFill="1" applyBorder="1"/>
    <xf numFmtId="3" fontId="67" fillId="24" borderId="25" xfId="0" applyNumberFormat="1" applyFont="1" applyFill="1" applyBorder="1"/>
    <xf numFmtId="0" fontId="67" fillId="0" borderId="41" xfId="0" applyFont="1" applyBorder="1"/>
    <xf numFmtId="3" fontId="67" fillId="35" borderId="41" xfId="0" applyNumberFormat="1" applyFont="1" applyFill="1" applyBorder="1"/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3" fontId="68" fillId="16" borderId="0" xfId="0" applyNumberFormat="1" applyFont="1" applyFill="1"/>
    <xf numFmtId="0" fontId="68" fillId="0" borderId="0" xfId="0" applyFont="1" applyFill="1"/>
    <xf numFmtId="3" fontId="91" fillId="21" borderId="41" xfId="0" applyNumberFormat="1" applyFont="1" applyFill="1" applyBorder="1"/>
    <xf numFmtId="3" fontId="91" fillId="21" borderId="66" xfId="0" applyNumberFormat="1" applyFont="1" applyFill="1" applyBorder="1"/>
    <xf numFmtId="3" fontId="68" fillId="0" borderId="86" xfId="0" applyNumberFormat="1" applyFont="1" applyBorder="1"/>
    <xf numFmtId="1" fontId="68" fillId="0" borderId="11" xfId="0" applyNumberFormat="1" applyFont="1" applyBorder="1"/>
    <xf numFmtId="3" fontId="68" fillId="0" borderId="87" xfId="0" applyNumberFormat="1" applyFont="1" applyBorder="1"/>
    <xf numFmtId="172" fontId="68" fillId="0" borderId="88" xfId="0" applyNumberFormat="1" applyFont="1" applyBorder="1"/>
    <xf numFmtId="1" fontId="68" fillId="0" borderId="89" xfId="0" applyNumberFormat="1" applyFont="1" applyBorder="1"/>
    <xf numFmtId="3" fontId="68" fillId="0" borderId="90" xfId="0" applyNumberFormat="1" applyFont="1" applyBorder="1"/>
    <xf numFmtId="2" fontId="67" fillId="40" borderId="25" xfId="0" applyNumberFormat="1" applyFont="1" applyFill="1" applyBorder="1"/>
    <xf numFmtId="3" fontId="99" fillId="0" borderId="25" xfId="0" applyNumberFormat="1" applyFont="1" applyBorder="1"/>
    <xf numFmtId="0" fontId="68" fillId="0" borderId="3" xfId="0" applyFont="1" applyBorder="1"/>
    <xf numFmtId="0" fontId="68" fillId="0" borderId="4" xfId="0" applyFont="1" applyBorder="1"/>
    <xf numFmtId="2" fontId="68" fillId="0" borderId="5" xfId="0" applyNumberFormat="1" applyFont="1" applyBorder="1"/>
    <xf numFmtId="3" fontId="72" fillId="0" borderId="25" xfId="0" applyNumberFormat="1" applyFont="1" applyBorder="1"/>
    <xf numFmtId="1" fontId="68" fillId="0" borderId="25" xfId="0" applyNumberFormat="1" applyFont="1" applyBorder="1"/>
    <xf numFmtId="3" fontId="72" fillId="19" borderId="25" xfId="0" applyNumberFormat="1" applyFont="1" applyFill="1" applyBorder="1"/>
    <xf numFmtId="0" fontId="68" fillId="0" borderId="8" xfId="0" applyFont="1" applyBorder="1"/>
    <xf numFmtId="0" fontId="68" fillId="0" borderId="9" xfId="0" applyFont="1" applyBorder="1"/>
    <xf numFmtId="2" fontId="68" fillId="0" borderId="10" xfId="0" applyNumberFormat="1" applyFont="1" applyBorder="1"/>
    <xf numFmtId="3" fontId="68" fillId="12" borderId="0" xfId="0" applyNumberFormat="1" applyFont="1" applyFill="1"/>
    <xf numFmtId="0" fontId="67" fillId="0" borderId="52" xfId="0" applyFont="1" applyBorder="1" applyAlignment="1">
      <alignment horizontal="center" vertical="center" wrapText="1"/>
    </xf>
    <xf numFmtId="0" fontId="67" fillId="0" borderId="52" xfId="0" applyFont="1" applyBorder="1" applyAlignment="1">
      <alignment horizontal="center" vertical="center"/>
    </xf>
    <xf numFmtId="0" fontId="74" fillId="0" borderId="2" xfId="0" applyFont="1" applyBorder="1"/>
    <xf numFmtId="3" fontId="68" fillId="21" borderId="41" xfId="0" applyNumberFormat="1" applyFont="1" applyFill="1" applyBorder="1"/>
    <xf numFmtId="3" fontId="68" fillId="0" borderId="42" xfId="0" applyNumberFormat="1" applyFont="1" applyBorder="1"/>
    <xf numFmtId="3" fontId="67" fillId="19" borderId="25" xfId="0" applyNumberFormat="1" applyFont="1" applyFill="1" applyBorder="1"/>
    <xf numFmtId="3" fontId="81" fillId="0" borderId="0" xfId="0" applyNumberFormat="1" applyFont="1" applyAlignment="1">
      <alignment horizontal="right" wrapText="1"/>
    </xf>
    <xf numFmtId="3" fontId="68" fillId="0" borderId="0" xfId="0" applyNumberFormat="1" applyFont="1" applyAlignment="1">
      <alignment wrapText="1"/>
    </xf>
    <xf numFmtId="0" fontId="67" fillId="0" borderId="25" xfId="0" applyFont="1" applyBorder="1" applyAlignment="1">
      <alignment wrapText="1"/>
    </xf>
    <xf numFmtId="0" fontId="68" fillId="0" borderId="25" xfId="0" applyFont="1" applyBorder="1" applyAlignment="1">
      <alignment horizontal="center" vertical="center" wrapText="1"/>
    </xf>
    <xf numFmtId="168" fontId="67" fillId="0" borderId="25" xfId="0" applyNumberFormat="1" applyFont="1" applyBorder="1" applyAlignment="1">
      <alignment horizontal="center" vertical="center" wrapText="1"/>
    </xf>
    <xf numFmtId="3" fontId="67" fillId="0" borderId="25" xfId="0" applyNumberFormat="1" applyFont="1" applyBorder="1" applyAlignment="1">
      <alignment horizontal="center" vertical="center" wrapText="1"/>
    </xf>
    <xf numFmtId="0" fontId="67" fillId="0" borderId="40" xfId="0" applyFont="1" applyBorder="1" applyAlignment="1">
      <alignment horizontal="center" vertical="center" wrapText="1"/>
    </xf>
    <xf numFmtId="0" fontId="68" fillId="0" borderId="40" xfId="0" applyFont="1" applyBorder="1"/>
    <xf numFmtId="164" fontId="72" fillId="0" borderId="41" xfId="0" applyNumberFormat="1" applyFont="1" applyBorder="1"/>
    <xf numFmtId="2" fontId="68" fillId="19" borderId="25" xfId="0" applyNumberFormat="1" applyFont="1" applyFill="1" applyBorder="1"/>
    <xf numFmtId="3" fontId="68" fillId="21" borderId="25" xfId="0" applyNumberFormat="1" applyFont="1" applyFill="1" applyBorder="1"/>
    <xf numFmtId="0" fontId="102" fillId="0" borderId="36" xfId="0" applyFont="1" applyBorder="1" applyAlignment="1">
      <alignment horizontal="center" vertical="top" wrapText="1"/>
    </xf>
    <xf numFmtId="0" fontId="102" fillId="0" borderId="25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102" fillId="0" borderId="48" xfId="0" applyFont="1" applyBorder="1"/>
    <xf numFmtId="168" fontId="102" fillId="0" borderId="25" xfId="0" applyNumberFormat="1" applyFont="1" applyBorder="1" applyAlignment="1">
      <alignment horizontal="center" vertical="center" wrapText="1"/>
    </xf>
    <xf numFmtId="3" fontId="102" fillId="0" borderId="25" xfId="0" applyNumberFormat="1" applyFont="1" applyBorder="1" applyAlignment="1">
      <alignment horizontal="center" vertical="center" wrapText="1"/>
    </xf>
    <xf numFmtId="0" fontId="102" fillId="0" borderId="30" xfId="0" applyFont="1" applyBorder="1" applyAlignment="1">
      <alignment horizontal="center" vertical="center" wrapText="1"/>
    </xf>
    <xf numFmtId="0" fontId="0" fillId="0" borderId="25" xfId="0" applyBorder="1"/>
    <xf numFmtId="3" fontId="82" fillId="0" borderId="25" xfId="0" applyNumberFormat="1" applyFont="1" applyBorder="1"/>
    <xf numFmtId="4" fontId="82" fillId="0" borderId="25" xfId="0" applyNumberFormat="1" applyFont="1" applyBorder="1"/>
    <xf numFmtId="3" fontId="82" fillId="0" borderId="91" xfId="0" applyNumberFormat="1" applyFont="1" applyBorder="1"/>
    <xf numFmtId="3" fontId="0" fillId="0" borderId="25" xfId="0" applyNumberFormat="1" applyBorder="1"/>
    <xf numFmtId="4" fontId="0" fillId="0" borderId="25" xfId="0" applyNumberFormat="1" applyBorder="1"/>
    <xf numFmtId="3" fontId="0" fillId="0" borderId="91" xfId="0" applyNumberFormat="1" applyBorder="1"/>
    <xf numFmtId="0" fontId="102" fillId="0" borderId="92" xfId="0" applyFont="1" applyBorder="1"/>
    <xf numFmtId="3" fontId="0" fillId="0" borderId="93" xfId="0" applyNumberFormat="1" applyBorder="1"/>
    <xf numFmtId="2" fontId="0" fillId="19" borderId="93" xfId="0" applyNumberFormat="1" applyFill="1" applyBorder="1"/>
    <xf numFmtId="2" fontId="0" fillId="0" borderId="93" xfId="0" applyNumberFormat="1" applyBorder="1"/>
    <xf numFmtId="0" fontId="0" fillId="0" borderId="93" xfId="0" applyBorder="1"/>
    <xf numFmtId="3" fontId="0" fillId="0" borderId="94" xfId="0" applyNumberFormat="1" applyBorder="1"/>
    <xf numFmtId="0" fontId="102" fillId="0" borderId="95" xfId="0" applyFont="1" applyBorder="1"/>
    <xf numFmtId="3" fontId="0" fillId="0" borderId="96" xfId="0" applyNumberFormat="1" applyBorder="1"/>
    <xf numFmtId="2" fontId="0" fillId="19" borderId="96" xfId="0" applyNumberFormat="1" applyFill="1" applyBorder="1"/>
    <xf numFmtId="0" fontId="0" fillId="0" borderId="96" xfId="0" applyBorder="1"/>
    <xf numFmtId="3" fontId="0" fillId="0" borderId="97" xfId="0" applyNumberFormat="1" applyBorder="1"/>
    <xf numFmtId="3" fontId="0" fillId="0" borderId="36" xfId="0" applyNumberFormat="1" applyBorder="1"/>
    <xf numFmtId="4" fontId="0" fillId="0" borderId="36" xfId="0" applyNumberFormat="1" applyBorder="1"/>
    <xf numFmtId="3" fontId="0" fillId="0" borderId="98" xfId="0" applyNumberFormat="1" applyBorder="1"/>
    <xf numFmtId="2" fontId="0" fillId="0" borderId="96" xfId="0" applyNumberFormat="1" applyBorder="1"/>
    <xf numFmtId="3" fontId="0" fillId="0" borderId="26" xfId="0" applyNumberFormat="1" applyBorder="1"/>
    <xf numFmtId="3" fontId="82" fillId="0" borderId="48" xfId="0" applyNumberFormat="1" applyFont="1" applyBorder="1"/>
    <xf numFmtId="4" fontId="82" fillId="0" borderId="48" xfId="0" applyNumberFormat="1" applyFont="1" applyBorder="1"/>
    <xf numFmtId="3" fontId="82" fillId="0" borderId="99" xfId="0" applyNumberFormat="1" applyFont="1" applyBorder="1"/>
    <xf numFmtId="0" fontId="0" fillId="0" borderId="36" xfId="0" applyBorder="1"/>
    <xf numFmtId="0" fontId="17" fillId="41" borderId="0" xfId="0" applyFont="1" applyFill="1"/>
    <xf numFmtId="3" fontId="17" fillId="41" borderId="0" xfId="0" applyNumberFormat="1" applyFont="1" applyFill="1"/>
    <xf numFmtId="4" fontId="17" fillId="41" borderId="0" xfId="0" applyNumberFormat="1" applyFont="1" applyFill="1"/>
    <xf numFmtId="0" fontId="0" fillId="41" borderId="0" xfId="0" applyFill="1"/>
    <xf numFmtId="0" fontId="68" fillId="41" borderId="0" xfId="0" applyFont="1" applyFill="1"/>
    <xf numFmtId="0" fontId="107" fillId="41" borderId="0" xfId="0" applyFont="1" applyFill="1"/>
    <xf numFmtId="2" fontId="108" fillId="41" borderId="0" xfId="0" applyNumberFormat="1" applyFont="1" applyFill="1"/>
    <xf numFmtId="4" fontId="21" fillId="41" borderId="0" xfId="0" applyNumberFormat="1" applyFont="1" applyFill="1"/>
    <xf numFmtId="0" fontId="109" fillId="0" borderId="0" xfId="0" applyFont="1"/>
    <xf numFmtId="0" fontId="29" fillId="0" borderId="0" xfId="5" applyFont="1"/>
    <xf numFmtId="14" fontId="0" fillId="0" borderId="0" xfId="0" applyNumberFormat="1"/>
    <xf numFmtId="0" fontId="0" fillId="13" borderId="0" xfId="0" applyFill="1"/>
    <xf numFmtId="0" fontId="110" fillId="0" borderId="0" xfId="0" applyNumberFormat="1" applyFont="1"/>
    <xf numFmtId="0" fontId="74" fillId="0" borderId="0" xfId="0" applyNumberFormat="1" applyFont="1"/>
    <xf numFmtId="0" fontId="81" fillId="0" borderId="0" xfId="0" applyNumberFormat="1" applyFont="1"/>
    <xf numFmtId="0" fontId="78" fillId="0" borderId="100" xfId="0" applyNumberFormat="1" applyFont="1" applyBorder="1"/>
    <xf numFmtId="0" fontId="111" fillId="0" borderId="101" xfId="0" applyNumberFormat="1" applyFont="1" applyBorder="1" applyAlignment="1">
      <alignment horizontal="center"/>
    </xf>
    <xf numFmtId="0" fontId="0" fillId="0" borderId="0" xfId="0" applyNumberFormat="1"/>
    <xf numFmtId="0" fontId="78" fillId="0" borderId="25" xfId="0" applyNumberFormat="1" applyFont="1" applyBorder="1" applyAlignment="1">
      <alignment horizontal="center"/>
    </xf>
    <xf numFmtId="0" fontId="78" fillId="0" borderId="25" xfId="0" applyNumberFormat="1" applyFont="1" applyBorder="1" applyAlignment="1">
      <alignment horizontal="center" vertical="center" wrapText="1"/>
    </xf>
    <xf numFmtId="0" fontId="74" fillId="0" borderId="25" xfId="0" applyNumberFormat="1" applyFont="1" applyBorder="1"/>
    <xf numFmtId="0" fontId="82" fillId="0" borderId="102" xfId="0" applyNumberFormat="1" applyFont="1" applyBorder="1"/>
    <xf numFmtId="2" fontId="70" fillId="0" borderId="103" xfId="0" applyNumberFormat="1" applyFont="1" applyFill="1" applyBorder="1" applyAlignment="1">
      <alignment horizontal="center"/>
    </xf>
    <xf numFmtId="0" fontId="78" fillId="0" borderId="0" xfId="0" applyNumberFormat="1" applyFont="1" applyAlignment="1">
      <alignment horizontal="center"/>
    </xf>
    <xf numFmtId="168" fontId="78" fillId="0" borderId="25" xfId="0" applyNumberFormat="1" applyFont="1" applyBorder="1" applyAlignment="1">
      <alignment horizontal="center"/>
    </xf>
    <xf numFmtId="3" fontId="78" fillId="0" borderId="25" xfId="0" applyNumberFormat="1" applyFont="1" applyBorder="1" applyAlignment="1">
      <alignment horizontal="center"/>
    </xf>
    <xf numFmtId="0" fontId="81" fillId="0" borderId="102" xfId="0" applyNumberFormat="1" applyFont="1" applyFill="1" applyBorder="1"/>
    <xf numFmtId="0" fontId="78" fillId="19" borderId="25" xfId="0" applyNumberFormat="1" applyFont="1" applyFill="1" applyBorder="1" applyAlignment="1">
      <alignment horizontal="center"/>
    </xf>
    <xf numFmtId="3" fontId="69" fillId="0" borderId="25" xfId="0" applyNumberFormat="1" applyFont="1" applyBorder="1"/>
    <xf numFmtId="0" fontId="69" fillId="0" borderId="102" xfId="0" applyNumberFormat="1" applyFont="1" applyFill="1" applyBorder="1"/>
    <xf numFmtId="0" fontId="78" fillId="20" borderId="25" xfId="0" applyNumberFormat="1" applyFont="1" applyFill="1" applyBorder="1"/>
    <xf numFmtId="3" fontId="78" fillId="0" borderId="25" xfId="0" applyNumberFormat="1" applyFont="1" applyBorder="1"/>
    <xf numFmtId="168" fontId="78" fillId="0" borderId="25" xfId="0" applyNumberFormat="1" applyFont="1" applyBorder="1"/>
    <xf numFmtId="2" fontId="71" fillId="22" borderId="25" xfId="0" applyNumberFormat="1" applyFont="1" applyFill="1" applyBorder="1"/>
    <xf numFmtId="0" fontId="81" fillId="0" borderId="0" xfId="0" applyNumberFormat="1" applyFont="1" applyFill="1"/>
    <xf numFmtId="0" fontId="74" fillId="0" borderId="102" xfId="0" applyNumberFormat="1" applyFont="1" applyBorder="1"/>
    <xf numFmtId="0" fontId="78" fillId="0" borderId="25" xfId="0" applyNumberFormat="1" applyFont="1" applyBorder="1" applyAlignment="1">
      <alignment horizontal="right"/>
    </xf>
    <xf numFmtId="0" fontId="74" fillId="0" borderId="104" xfId="0" applyNumberFormat="1" applyFont="1" applyBorder="1"/>
    <xf numFmtId="0" fontId="112" fillId="0" borderId="0" xfId="0" applyNumberFormat="1" applyFont="1" applyFill="1"/>
    <xf numFmtId="0" fontId="69" fillId="22" borderId="25" xfId="0" applyNumberFormat="1" applyFont="1" applyFill="1" applyBorder="1"/>
    <xf numFmtId="168" fontId="78" fillId="0" borderId="25" xfId="0" applyNumberFormat="1" applyFont="1" applyFill="1" applyBorder="1"/>
    <xf numFmtId="0" fontId="76" fillId="14" borderId="0" xfId="0" applyNumberFormat="1" applyFont="1" applyFill="1"/>
    <xf numFmtId="0" fontId="69" fillId="0" borderId="25" xfId="0" applyNumberFormat="1" applyFont="1" applyBorder="1" applyAlignment="1">
      <alignment horizontal="right"/>
    </xf>
    <xf numFmtId="168" fontId="69" fillId="0" borderId="25" xfId="0" applyNumberFormat="1" applyFont="1" applyBorder="1"/>
    <xf numFmtId="168" fontId="71" fillId="24" borderId="25" xfId="0" applyNumberFormat="1" applyFont="1" applyFill="1" applyBorder="1"/>
    <xf numFmtId="0" fontId="77" fillId="0" borderId="36" xfId="0" applyNumberFormat="1" applyFont="1" applyBorder="1" applyAlignment="1">
      <alignment horizontal="center"/>
    </xf>
    <xf numFmtId="0" fontId="74" fillId="0" borderId="37" xfId="0" applyNumberFormat="1" applyFont="1" applyBorder="1"/>
    <xf numFmtId="0" fontId="74" fillId="26" borderId="37" xfId="0" applyNumberFormat="1" applyFont="1" applyFill="1" applyBorder="1" applyAlignment="1">
      <alignment horizontal="center"/>
    </xf>
    <xf numFmtId="0" fontId="74" fillId="26" borderId="38" xfId="0" applyNumberFormat="1" applyFont="1" applyFill="1" applyBorder="1" applyAlignment="1">
      <alignment horizontal="center"/>
    </xf>
    <xf numFmtId="0" fontId="74" fillId="19" borderId="39" xfId="0" applyNumberFormat="1" applyFont="1" applyFill="1" applyBorder="1"/>
    <xf numFmtId="0" fontId="74" fillId="0" borderId="15" xfId="0" applyNumberFormat="1" applyFont="1" applyBorder="1"/>
    <xf numFmtId="0" fontId="77" fillId="0" borderId="40" xfId="0" applyNumberFormat="1" applyFont="1" applyBorder="1" applyAlignment="1">
      <alignment horizontal="center"/>
    </xf>
    <xf numFmtId="0" fontId="77" fillId="0" borderId="41" xfId="0" applyNumberFormat="1" applyFont="1" applyBorder="1" applyAlignment="1">
      <alignment horizontal="center"/>
    </xf>
    <xf numFmtId="0" fontId="77" fillId="0" borderId="32" xfId="0" applyNumberFormat="1" applyFont="1" applyBorder="1" applyAlignment="1">
      <alignment horizontal="center"/>
    </xf>
    <xf numFmtId="0" fontId="74" fillId="0" borderId="0" xfId="0" applyNumberFormat="1" applyFont="1" applyAlignment="1">
      <alignment horizontal="right"/>
    </xf>
    <xf numFmtId="0" fontId="68" fillId="0" borderId="30" xfId="0" applyNumberFormat="1" applyFont="1" applyBorder="1" applyAlignment="1">
      <alignment horizontal="right"/>
    </xf>
    <xf numFmtId="0" fontId="74" fillId="19" borderId="42" xfId="0" applyNumberFormat="1" applyFont="1" applyFill="1" applyBorder="1"/>
    <xf numFmtId="0" fontId="74" fillId="0" borderId="20" xfId="0" applyNumberFormat="1" applyFont="1" applyBorder="1"/>
    <xf numFmtId="168" fontId="79" fillId="24" borderId="25" xfId="0" applyNumberFormat="1" applyFont="1" applyFill="1" applyBorder="1"/>
    <xf numFmtId="3" fontId="69" fillId="23" borderId="25" xfId="0" applyNumberFormat="1" applyFont="1" applyFill="1" applyBorder="1"/>
    <xf numFmtId="0" fontId="77" fillId="19" borderId="42" xfId="0" applyNumberFormat="1" applyFont="1" applyFill="1" applyBorder="1" applyAlignment="1">
      <alignment horizontal="center"/>
    </xf>
    <xf numFmtId="0" fontId="74" fillId="0" borderId="3" xfId="0" applyNumberFormat="1" applyFont="1" applyBorder="1"/>
    <xf numFmtId="0" fontId="74" fillId="0" borderId="4" xfId="0" applyNumberFormat="1" applyFont="1" applyBorder="1"/>
    <xf numFmtId="168" fontId="67" fillId="0" borderId="5" xfId="0" applyNumberFormat="1" applyFont="1" applyFill="1" applyBorder="1"/>
    <xf numFmtId="0" fontId="69" fillId="0" borderId="8" xfId="0" applyNumberFormat="1" applyFont="1" applyBorder="1"/>
    <xf numFmtId="0" fontId="69" fillId="0" borderId="9" xfId="0" applyNumberFormat="1" applyFont="1" applyBorder="1"/>
    <xf numFmtId="0" fontId="69" fillId="0" borderId="10" xfId="0" applyNumberFormat="1" applyFont="1" applyBorder="1"/>
    <xf numFmtId="0" fontId="74" fillId="19" borderId="44" xfId="0" applyNumberFormat="1" applyFont="1" applyFill="1" applyBorder="1"/>
    <xf numFmtId="0" fontId="74" fillId="0" borderId="35" xfId="0" applyNumberFormat="1" applyFont="1" applyBorder="1"/>
    <xf numFmtId="0" fontId="69" fillId="0" borderId="0" xfId="0" applyNumberFormat="1" applyFont="1"/>
    <xf numFmtId="0" fontId="85" fillId="0" borderId="0" xfId="0" applyNumberFormat="1" applyFont="1"/>
    <xf numFmtId="168" fontId="69" fillId="0" borderId="25" xfId="0" applyNumberFormat="1" applyFont="1" applyFill="1" applyBorder="1"/>
    <xf numFmtId="0" fontId="77" fillId="0" borderId="0" xfId="0" applyNumberFormat="1" applyFont="1"/>
    <xf numFmtId="0" fontId="69" fillId="19" borderId="36" xfId="0" applyNumberFormat="1" applyFont="1" applyFill="1" applyBorder="1"/>
    <xf numFmtId="0" fontId="69" fillId="0" borderId="37" xfId="0" applyNumberFormat="1" applyFont="1" applyBorder="1" applyAlignment="1">
      <alignment horizontal="center"/>
    </xf>
    <xf numFmtId="0" fontId="69" fillId="0" borderId="45" xfId="0" applyNumberFormat="1" applyFont="1" applyBorder="1" applyAlignment="1">
      <alignment horizontal="center"/>
    </xf>
    <xf numFmtId="164" fontId="79" fillId="24" borderId="25" xfId="0" applyNumberFormat="1" applyFont="1" applyFill="1" applyBorder="1"/>
    <xf numFmtId="2" fontId="79" fillId="22" borderId="25" xfId="0" applyNumberFormat="1" applyFont="1" applyFill="1" applyBorder="1"/>
    <xf numFmtId="0" fontId="69" fillId="19" borderId="26" xfId="0" applyNumberFormat="1" applyFont="1" applyFill="1" applyBorder="1"/>
    <xf numFmtId="0" fontId="69" fillId="0" borderId="27" xfId="0" applyNumberFormat="1" applyFont="1" applyBorder="1" applyAlignment="1">
      <alignment horizontal="center"/>
    </xf>
    <xf numFmtId="0" fontId="69" fillId="0" borderId="27" xfId="0" applyNumberFormat="1" applyFont="1" applyBorder="1"/>
    <xf numFmtId="168" fontId="34" fillId="0" borderId="0" xfId="3" applyNumberFormat="1" applyFont="1"/>
    <xf numFmtId="0" fontId="78" fillId="19" borderId="26" xfId="0" applyNumberFormat="1" applyFont="1" applyFill="1" applyBorder="1" applyAlignment="1">
      <alignment horizontal="center"/>
    </xf>
    <xf numFmtId="0" fontId="69" fillId="0" borderId="30" xfId="0" applyNumberFormat="1" applyFont="1" applyBorder="1"/>
    <xf numFmtId="0" fontId="69" fillId="19" borderId="48" xfId="0" applyNumberFormat="1" applyFont="1" applyFill="1" applyBorder="1"/>
    <xf numFmtId="0" fontId="69" fillId="0" borderId="49" xfId="0" applyNumberFormat="1" applyFont="1" applyBorder="1" applyAlignment="1">
      <alignment horizontal="center"/>
    </xf>
    <xf numFmtId="0" fontId="69" fillId="0" borderId="49" xfId="0" applyNumberFormat="1" applyFont="1" applyBorder="1"/>
    <xf numFmtId="0" fontId="78" fillId="19" borderId="25" xfId="0" applyNumberFormat="1" applyFont="1" applyFill="1" applyBorder="1"/>
    <xf numFmtId="0" fontId="69" fillId="0" borderId="50" xfId="0" applyNumberFormat="1" applyFont="1" applyFill="1" applyBorder="1"/>
    <xf numFmtId="0" fontId="78" fillId="0" borderId="0" xfId="0" applyNumberFormat="1" applyFont="1"/>
    <xf numFmtId="0" fontId="88" fillId="0" borderId="0" xfId="0" applyNumberFormat="1" applyFont="1"/>
    <xf numFmtId="0" fontId="74" fillId="0" borderId="39" xfId="0" applyNumberFormat="1" applyFont="1" applyBorder="1"/>
    <xf numFmtId="0" fontId="74" fillId="0" borderId="81" xfId="0" applyNumberFormat="1" applyFont="1" applyBorder="1"/>
    <xf numFmtId="0" fontId="69" fillId="0" borderId="3" xfId="0" applyNumberFormat="1" applyFont="1" applyBorder="1"/>
    <xf numFmtId="0" fontId="69" fillId="0" borderId="53" xfId="0" applyNumberFormat="1" applyFont="1" applyBorder="1"/>
    <xf numFmtId="0" fontId="69" fillId="0" borderId="4" xfId="0" applyNumberFormat="1" applyFont="1" applyBorder="1"/>
    <xf numFmtId="0" fontId="74" fillId="0" borderId="5" xfId="0" applyNumberFormat="1" applyFont="1" applyBorder="1"/>
    <xf numFmtId="0" fontId="69" fillId="0" borderId="0" xfId="0" applyFont="1" applyBorder="1"/>
    <xf numFmtId="0" fontId="69" fillId="0" borderId="0" xfId="0" applyNumberFormat="1" applyFont="1" applyBorder="1"/>
    <xf numFmtId="0" fontId="69" fillId="14" borderId="6" xfId="0" applyNumberFormat="1" applyFont="1" applyFill="1" applyBorder="1" applyAlignment="1">
      <alignment horizontal="right"/>
    </xf>
    <xf numFmtId="0" fontId="79" fillId="0" borderId="55" xfId="0" applyNumberFormat="1" applyFont="1" applyBorder="1"/>
    <xf numFmtId="2" fontId="69" fillId="0" borderId="0" xfId="0" applyNumberFormat="1" applyFont="1" applyBorder="1"/>
    <xf numFmtId="0" fontId="74" fillId="0" borderId="7" xfId="0" applyNumberFormat="1" applyFont="1" applyBorder="1"/>
    <xf numFmtId="0" fontId="78" fillId="27" borderId="25" xfId="0" applyNumberFormat="1" applyFont="1" applyFill="1" applyBorder="1"/>
    <xf numFmtId="0" fontId="78" fillId="19" borderId="52" xfId="0" applyNumberFormat="1" applyFont="1" applyFill="1" applyBorder="1" applyAlignment="1">
      <alignment horizontal="center"/>
    </xf>
    <xf numFmtId="0" fontId="78" fillId="19" borderId="54" xfId="0" applyNumberFormat="1" applyFont="1" applyFill="1" applyBorder="1" applyAlignment="1">
      <alignment horizontal="center"/>
    </xf>
    <xf numFmtId="0" fontId="78" fillId="19" borderId="56" xfId="0" applyNumberFormat="1" applyFont="1" applyFill="1" applyBorder="1" applyAlignment="1">
      <alignment horizontal="center"/>
    </xf>
    <xf numFmtId="0" fontId="81" fillId="0" borderId="6" xfId="0" applyNumberFormat="1" applyFont="1" applyBorder="1" applyAlignment="1">
      <alignment horizontal="right"/>
    </xf>
    <xf numFmtId="0" fontId="0" fillId="0" borderId="7" xfId="0" applyNumberFormat="1" applyBorder="1"/>
    <xf numFmtId="0" fontId="74" fillId="0" borderId="0" xfId="0" applyNumberFormat="1" applyFont="1" applyBorder="1"/>
    <xf numFmtId="0" fontId="85" fillId="0" borderId="8" xfId="0" applyNumberFormat="1" applyFont="1" applyBorder="1"/>
    <xf numFmtId="0" fontId="79" fillId="0" borderId="57" xfId="0" applyNumberFormat="1" applyFont="1" applyBorder="1"/>
    <xf numFmtId="0" fontId="74" fillId="0" borderId="9" xfId="0" applyNumberFormat="1" applyFont="1" applyBorder="1"/>
    <xf numFmtId="2" fontId="69" fillId="0" borderId="9" xfId="0" applyNumberFormat="1" applyFont="1" applyBorder="1"/>
    <xf numFmtId="0" fontId="0" fillId="0" borderId="10" xfId="0" applyNumberFormat="1" applyBorder="1"/>
    <xf numFmtId="164" fontId="69" fillId="0" borderId="25" xfId="0" applyNumberFormat="1" applyFont="1" applyBorder="1"/>
    <xf numFmtId="164" fontId="68" fillId="0" borderId="0" xfId="0" applyNumberFormat="1" applyFont="1" applyBorder="1"/>
    <xf numFmtId="0" fontId="78" fillId="32" borderId="25" xfId="0" applyNumberFormat="1" applyFont="1" applyFill="1" applyBorder="1"/>
    <xf numFmtId="3" fontId="78" fillId="42" borderId="25" xfId="0" applyNumberFormat="1" applyFont="1" applyFill="1" applyBorder="1"/>
    <xf numFmtId="0" fontId="68" fillId="0" borderId="0" xfId="0" applyNumberFormat="1" applyFont="1"/>
    <xf numFmtId="2" fontId="74" fillId="0" borderId="0" xfId="0" applyNumberFormat="1" applyFont="1" applyFill="1"/>
    <xf numFmtId="0" fontId="74" fillId="0" borderId="0" xfId="0" applyNumberFormat="1" applyFont="1" applyFill="1"/>
    <xf numFmtId="0" fontId="74" fillId="0" borderId="0" xfId="0" applyNumberFormat="1" applyFont="1" applyFill="1" applyBorder="1"/>
    <xf numFmtId="0" fontId="74" fillId="0" borderId="0" xfId="0" applyNumberFormat="1" applyFont="1" applyFill="1" applyBorder="1" applyAlignment="1">
      <alignment horizontal="center"/>
    </xf>
    <xf numFmtId="0" fontId="111" fillId="32" borderId="25" xfId="0" applyNumberFormat="1" applyFont="1" applyFill="1" applyBorder="1"/>
    <xf numFmtId="2" fontId="79" fillId="0" borderId="0" xfId="0" applyNumberFormat="1" applyFont="1" applyFill="1" applyBorder="1"/>
    <xf numFmtId="2" fontId="69" fillId="0" borderId="0" xfId="0" applyNumberFormat="1" applyFont="1" applyFill="1" applyBorder="1"/>
    <xf numFmtId="3" fontId="111" fillId="0" borderId="25" xfId="0" applyNumberFormat="1" applyFont="1" applyBorder="1"/>
    <xf numFmtId="3" fontId="69" fillId="0" borderId="0" xfId="0" applyNumberFormat="1" applyFont="1" applyFill="1" applyBorder="1"/>
    <xf numFmtId="164" fontId="74" fillId="0" borderId="0" xfId="0" applyNumberFormat="1" applyFont="1" applyFill="1" applyBorder="1"/>
    <xf numFmtId="3" fontId="74" fillId="0" borderId="0" xfId="0" applyNumberFormat="1" applyFont="1"/>
    <xf numFmtId="3" fontId="111" fillId="0" borderId="0" xfId="0" applyNumberFormat="1" applyFont="1"/>
    <xf numFmtId="0" fontId="74" fillId="0" borderId="0" xfId="0" applyNumberFormat="1" applyFont="1" applyAlignment="1">
      <alignment horizontal="center" vertical="center" wrapText="1"/>
    </xf>
    <xf numFmtId="0" fontId="77" fillId="0" borderId="0" xfId="0" applyNumberFormat="1" applyFont="1" applyFill="1" applyAlignment="1">
      <alignment horizontal="center" vertical="center" wrapText="1"/>
    </xf>
    <xf numFmtId="0" fontId="111" fillId="32" borderId="25" xfId="0" applyNumberFormat="1" applyFont="1" applyFill="1" applyBorder="1" applyAlignment="1">
      <alignment horizontal="left"/>
    </xf>
    <xf numFmtId="3" fontId="76" fillId="0" borderId="0" xfId="0" applyNumberFormat="1" applyFont="1"/>
    <xf numFmtId="0" fontId="81" fillId="0" borderId="0" xfId="0" applyNumberFormat="1" applyFont="1" applyAlignment="1">
      <alignment horizontal="right"/>
    </xf>
    <xf numFmtId="164" fontId="79" fillId="0" borderId="0" xfId="0" applyNumberFormat="1" applyFont="1"/>
    <xf numFmtId="4" fontId="69" fillId="0" borderId="0" xfId="0" applyNumberFormat="1" applyFont="1"/>
    <xf numFmtId="0" fontId="78" fillId="0" borderId="25" xfId="0" applyNumberFormat="1" applyFont="1" applyBorder="1" applyAlignment="1">
      <alignment horizontal="left"/>
    </xf>
    <xf numFmtId="4" fontId="78" fillId="0" borderId="25" xfId="0" applyNumberFormat="1" applyFont="1" applyBorder="1"/>
    <xf numFmtId="4" fontId="74" fillId="0" borderId="0" xfId="0" applyNumberFormat="1" applyFont="1" applyFill="1"/>
    <xf numFmtId="3" fontId="74" fillId="0" borderId="0" xfId="0" applyNumberFormat="1" applyFont="1" applyFill="1"/>
    <xf numFmtId="0" fontId="77" fillId="0" borderId="25" xfId="0" applyNumberFormat="1" applyFont="1" applyBorder="1" applyAlignment="1">
      <alignment horizontal="center" vertical="center" wrapText="1"/>
    </xf>
    <xf numFmtId="0" fontId="74" fillId="0" borderId="25" xfId="0" applyNumberFormat="1" applyFont="1" applyBorder="1" applyAlignment="1">
      <alignment horizontal="center" vertical="center" wrapText="1"/>
    </xf>
    <xf numFmtId="0" fontId="76" fillId="0" borderId="0" xfId="0" applyNumberFormat="1" applyFont="1" applyFill="1"/>
    <xf numFmtId="168" fontId="77" fillId="0" borderId="25" xfId="0" applyNumberFormat="1" applyFont="1" applyBorder="1" applyAlignment="1">
      <alignment horizontal="center" vertical="center" wrapText="1"/>
    </xf>
    <xf numFmtId="3" fontId="77" fillId="0" borderId="25" xfId="0" applyNumberFormat="1" applyFont="1" applyBorder="1" applyAlignment="1">
      <alignment horizontal="center" vertical="center" wrapText="1"/>
    </xf>
    <xf numFmtId="0" fontId="77" fillId="0" borderId="25" xfId="0" applyNumberFormat="1" applyFont="1" applyFill="1" applyBorder="1" applyAlignment="1">
      <alignment horizontal="center" vertical="center" wrapText="1"/>
    </xf>
    <xf numFmtId="3" fontId="74" fillId="0" borderId="25" xfId="0" applyNumberFormat="1" applyFont="1" applyBorder="1"/>
    <xf numFmtId="2" fontId="74" fillId="0" borderId="25" xfId="0" applyNumberFormat="1" applyFont="1" applyBorder="1"/>
    <xf numFmtId="164" fontId="113" fillId="0" borderId="25" xfId="0" applyNumberFormat="1" applyFont="1" applyBorder="1"/>
    <xf numFmtId="4" fontId="74" fillId="0" borderId="25" xfId="0" applyNumberFormat="1" applyFont="1" applyBorder="1"/>
    <xf numFmtId="0" fontId="29" fillId="0" borderId="0" xfId="0" applyFont="1"/>
    <xf numFmtId="2" fontId="69" fillId="0" borderId="25" xfId="0" applyNumberFormat="1" applyFont="1" applyBorder="1"/>
    <xf numFmtId="0" fontId="74" fillId="0" borderId="25" xfId="0" applyNumberFormat="1" applyFont="1" applyFill="1" applyBorder="1"/>
    <xf numFmtId="0" fontId="77" fillId="0" borderId="25" xfId="0" applyNumberFormat="1" applyFont="1" applyBorder="1"/>
    <xf numFmtId="2" fontId="74" fillId="22" borderId="25" xfId="0" applyNumberFormat="1" applyFont="1" applyFill="1" applyBorder="1"/>
    <xf numFmtId="3" fontId="74" fillId="21" borderId="25" xfId="0" applyNumberFormat="1" applyFont="1" applyFill="1" applyBorder="1"/>
    <xf numFmtId="3" fontId="77" fillId="21" borderId="25" xfId="0" applyNumberFormat="1" applyFont="1" applyFill="1" applyBorder="1"/>
    <xf numFmtId="0" fontId="113" fillId="0" borderId="0" xfId="0" applyNumberFormat="1" applyFont="1"/>
    <xf numFmtId="2" fontId="81" fillId="0" borderId="15" xfId="0" applyNumberFormat="1" applyFont="1" applyBorder="1"/>
    <xf numFmtId="2" fontId="81" fillId="0" borderId="0" xfId="0" applyNumberFormat="1" applyFont="1" applyBorder="1"/>
    <xf numFmtId="0" fontId="77" fillId="0" borderId="52" xfId="0" applyNumberFormat="1" applyFont="1" applyBorder="1" applyAlignment="1">
      <alignment horizontal="center" vertical="center" wrapText="1"/>
    </xf>
    <xf numFmtId="3" fontId="77" fillId="0" borderId="81" xfId="0" applyNumberFormat="1" applyFont="1" applyBorder="1"/>
    <xf numFmtId="3" fontId="78" fillId="0" borderId="41" xfId="0" applyNumberFormat="1" applyFont="1" applyBorder="1"/>
    <xf numFmtId="0" fontId="74" fillId="0" borderId="41" xfId="0" applyNumberFormat="1" applyFont="1" applyBorder="1"/>
    <xf numFmtId="3" fontId="111" fillId="0" borderId="20" xfId="0" applyNumberFormat="1" applyFont="1" applyBorder="1"/>
    <xf numFmtId="3" fontId="111" fillId="0" borderId="0" xfId="0" applyNumberFormat="1" applyFont="1" applyBorder="1"/>
    <xf numFmtId="164" fontId="79" fillId="0" borderId="25" xfId="0" applyNumberFormat="1" applyFont="1" applyBorder="1"/>
    <xf numFmtId="4" fontId="69" fillId="0" borderId="25" xfId="0" applyNumberFormat="1" applyFont="1" applyBorder="1"/>
    <xf numFmtId="4" fontId="74" fillId="0" borderId="25" xfId="0" applyNumberFormat="1" applyFont="1" applyFill="1" applyBorder="1"/>
    <xf numFmtId="0" fontId="69" fillId="0" borderId="25" xfId="0" applyNumberFormat="1" applyFont="1" applyBorder="1"/>
    <xf numFmtId="3" fontId="69" fillId="21" borderId="41" xfId="0" applyNumberFormat="1" applyFont="1" applyFill="1" applyBorder="1"/>
    <xf numFmtId="1" fontId="70" fillId="19" borderId="41" xfId="0" applyNumberFormat="1" applyFont="1" applyFill="1" applyBorder="1" applyAlignment="1">
      <alignment horizontal="right"/>
    </xf>
    <xf numFmtId="2" fontId="70" fillId="19" borderId="41" xfId="0" applyNumberFormat="1" applyFont="1" applyFill="1" applyBorder="1" applyAlignment="1">
      <alignment horizontal="center"/>
    </xf>
    <xf numFmtId="2" fontId="70" fillId="19" borderId="0" xfId="0" applyNumberFormat="1" applyFont="1" applyFill="1" applyBorder="1" applyAlignment="1">
      <alignment horizontal="center"/>
    </xf>
    <xf numFmtId="2" fontId="69" fillId="22" borderId="25" xfId="0" applyNumberFormat="1" applyFont="1" applyFill="1" applyBorder="1"/>
    <xf numFmtId="3" fontId="71" fillId="0" borderId="105" xfId="0" applyNumberFormat="1" applyFont="1" applyBorder="1"/>
    <xf numFmtId="0" fontId="100" fillId="0" borderId="0" xfId="0" applyFont="1" applyBorder="1"/>
    <xf numFmtId="3" fontId="74" fillId="0" borderId="25" xfId="0" applyNumberFormat="1" applyFont="1" applyFill="1" applyBorder="1"/>
    <xf numFmtId="4" fontId="78" fillId="0" borderId="0" xfId="0" applyNumberFormat="1" applyFont="1"/>
    <xf numFmtId="2" fontId="74" fillId="35" borderId="25" xfId="0" applyNumberFormat="1" applyFont="1" applyFill="1" applyBorder="1"/>
    <xf numFmtId="3" fontId="77" fillId="22" borderId="25" xfId="0" applyNumberFormat="1" applyFont="1" applyFill="1" applyBorder="1"/>
    <xf numFmtId="3" fontId="77" fillId="0" borderId="25" xfId="0" applyNumberFormat="1" applyFont="1" applyBorder="1"/>
    <xf numFmtId="3" fontId="113" fillId="0" borderId="25" xfId="0" applyNumberFormat="1" applyFont="1" applyBorder="1"/>
    <xf numFmtId="1" fontId="69" fillId="0" borderId="25" xfId="0" applyNumberFormat="1" applyFont="1" applyBorder="1"/>
    <xf numFmtId="3" fontId="113" fillId="24" borderId="25" xfId="0" applyNumberFormat="1" applyFont="1" applyFill="1" applyBorder="1"/>
    <xf numFmtId="3" fontId="74" fillId="16" borderId="0" xfId="0" applyNumberFormat="1" applyFont="1" applyFill="1"/>
    <xf numFmtId="0" fontId="111" fillId="0" borderId="0" xfId="0" applyNumberFormat="1" applyFont="1" applyAlignment="1">
      <alignment horizontal="center"/>
    </xf>
    <xf numFmtId="0" fontId="114" fillId="0" borderId="0" xfId="0" applyFont="1"/>
    <xf numFmtId="0" fontId="77" fillId="0" borderId="52" xfId="0" applyNumberFormat="1" applyFont="1" applyFill="1" applyBorder="1"/>
    <xf numFmtId="2" fontId="74" fillId="21" borderId="25" xfId="0" applyNumberFormat="1" applyFont="1" applyFill="1" applyBorder="1"/>
    <xf numFmtId="0" fontId="77" fillId="0" borderId="25" xfId="0" applyNumberFormat="1" applyFont="1" applyFill="1" applyBorder="1"/>
    <xf numFmtId="3" fontId="77" fillId="19" borderId="25" xfId="0" applyNumberFormat="1" applyFont="1" applyFill="1" applyBorder="1"/>
    <xf numFmtId="0" fontId="77" fillId="0" borderId="52" xfId="0" applyNumberFormat="1" applyFont="1" applyFill="1" applyBorder="1" applyAlignment="1">
      <alignment horizontal="center" vertical="center" wrapText="1"/>
    </xf>
    <xf numFmtId="0" fontId="77" fillId="0" borderId="41" xfId="0" applyNumberFormat="1" applyFont="1" applyBorder="1" applyAlignment="1">
      <alignment horizontal="center" vertical="center" wrapText="1"/>
    </xf>
    <xf numFmtId="0" fontId="74" fillId="0" borderId="41" xfId="0" applyNumberFormat="1" applyFont="1" applyBorder="1" applyAlignment="1">
      <alignment horizontal="center" vertical="center" wrapText="1"/>
    </xf>
    <xf numFmtId="0" fontId="77" fillId="0" borderId="56" xfId="0" applyNumberFormat="1" applyFont="1" applyFill="1" applyBorder="1"/>
    <xf numFmtId="168" fontId="77" fillId="0" borderId="41" xfId="0" applyNumberFormat="1" applyFont="1" applyBorder="1" applyAlignment="1">
      <alignment horizontal="center" vertical="center" wrapText="1"/>
    </xf>
    <xf numFmtId="3" fontId="77" fillId="0" borderId="41" xfId="0" applyNumberFormat="1" applyFont="1" applyBorder="1" applyAlignment="1">
      <alignment horizontal="center" vertical="center" wrapText="1"/>
    </xf>
    <xf numFmtId="0" fontId="77" fillId="0" borderId="66" xfId="0" applyNumberFormat="1" applyFont="1" applyBorder="1" applyAlignment="1">
      <alignment horizontal="center" vertical="center" wrapText="1"/>
    </xf>
    <xf numFmtId="0" fontId="77" fillId="0" borderId="41" xfId="0" applyNumberFormat="1" applyFont="1" applyFill="1" applyBorder="1" applyAlignment="1">
      <alignment horizontal="center" vertical="center" wrapText="1"/>
    </xf>
    <xf numFmtId="3" fontId="74" fillId="0" borderId="41" xfId="0" applyNumberFormat="1" applyFont="1" applyBorder="1"/>
    <xf numFmtId="4" fontId="74" fillId="0" borderId="41" xfId="0" applyNumberFormat="1" applyFont="1" applyBorder="1"/>
    <xf numFmtId="164" fontId="79" fillId="0" borderId="41" xfId="0" applyNumberFormat="1" applyFont="1" applyBorder="1"/>
    <xf numFmtId="4" fontId="69" fillId="0" borderId="40" xfId="0" applyNumberFormat="1" applyFont="1" applyBorder="1"/>
    <xf numFmtId="2" fontId="74" fillId="0" borderId="41" xfId="0" applyNumberFormat="1" applyFont="1" applyBorder="1"/>
    <xf numFmtId="3" fontId="74" fillId="0" borderId="66" xfId="0" applyNumberFormat="1" applyFont="1" applyBorder="1"/>
    <xf numFmtId="164" fontId="113" fillId="0" borderId="41" xfId="0" applyNumberFormat="1" applyFont="1" applyBorder="1"/>
    <xf numFmtId="4" fontId="74" fillId="0" borderId="40" xfId="0" applyNumberFormat="1" applyFont="1" applyBorder="1"/>
    <xf numFmtId="4" fontId="74" fillId="0" borderId="41" xfId="0" applyNumberFormat="1" applyFont="1" applyFill="1" applyBorder="1"/>
    <xf numFmtId="0" fontId="69" fillId="0" borderId="41" xfId="0" applyNumberFormat="1" applyFont="1" applyBorder="1"/>
    <xf numFmtId="0" fontId="74" fillId="0" borderId="52" xfId="0" applyNumberFormat="1" applyFont="1" applyBorder="1"/>
    <xf numFmtId="3" fontId="74" fillId="0" borderId="52" xfId="0" applyNumberFormat="1" applyFont="1" applyBorder="1"/>
    <xf numFmtId="2" fontId="74" fillId="0" borderId="52" xfId="0" applyNumberFormat="1" applyFont="1" applyFill="1" applyBorder="1"/>
    <xf numFmtId="2" fontId="74" fillId="0" borderId="52" xfId="0" applyNumberFormat="1" applyFont="1" applyBorder="1"/>
    <xf numFmtId="3" fontId="74" fillId="0" borderId="39" xfId="0" applyNumberFormat="1" applyFont="1" applyBorder="1"/>
    <xf numFmtId="0" fontId="77" fillId="0" borderId="41" xfId="0" applyNumberFormat="1" applyFont="1" applyFill="1" applyBorder="1"/>
    <xf numFmtId="2" fontId="74" fillId="19" borderId="41" xfId="0" applyNumberFormat="1" applyFont="1" applyFill="1" applyBorder="1"/>
    <xf numFmtId="0" fontId="113" fillId="0" borderId="54" xfId="0" applyNumberFormat="1" applyFont="1" applyFill="1" applyBorder="1"/>
    <xf numFmtId="0" fontId="74" fillId="0" borderId="56" xfId="0" applyNumberFormat="1" applyFont="1" applyBorder="1"/>
    <xf numFmtId="4" fontId="74" fillId="0" borderId="0" xfId="0" applyNumberFormat="1" applyFont="1"/>
    <xf numFmtId="0" fontId="74" fillId="0" borderId="82" xfId="0" applyNumberFormat="1" applyFont="1" applyBorder="1"/>
    <xf numFmtId="3" fontId="74" fillId="0" borderId="54" xfId="0" applyNumberFormat="1" applyFont="1" applyBorder="1"/>
    <xf numFmtId="0" fontId="74" fillId="0" borderId="82" xfId="0" applyNumberFormat="1" applyFont="1" applyFill="1" applyBorder="1"/>
    <xf numFmtId="3" fontId="74" fillId="0" borderId="56" xfId="0" applyNumberFormat="1" applyFont="1" applyBorder="1"/>
    <xf numFmtId="2" fontId="74" fillId="0" borderId="56" xfId="0" applyNumberFormat="1" applyFont="1" applyBorder="1"/>
    <xf numFmtId="0" fontId="77" fillId="0" borderId="0" xfId="0" applyNumberFormat="1" applyFont="1" applyFill="1" applyBorder="1"/>
    <xf numFmtId="3" fontId="78" fillId="0" borderId="0" xfId="0" applyNumberFormat="1" applyFont="1" applyBorder="1"/>
    <xf numFmtId="164" fontId="78" fillId="0" borderId="0" xfId="0" applyNumberFormat="1" applyFont="1" applyFill="1" applyBorder="1"/>
    <xf numFmtId="164" fontId="78" fillId="0" borderId="0" xfId="0" applyNumberFormat="1" applyFont="1" applyBorder="1"/>
    <xf numFmtId="0" fontId="77" fillId="0" borderId="56" xfId="0" applyNumberFormat="1" applyFont="1" applyBorder="1"/>
    <xf numFmtId="2" fontId="74" fillId="22" borderId="41" xfId="0" applyNumberFormat="1" applyFont="1" applyFill="1" applyBorder="1"/>
    <xf numFmtId="3" fontId="74" fillId="21" borderId="41" xfId="0" applyNumberFormat="1" applyFont="1" applyFill="1" applyBorder="1"/>
    <xf numFmtId="3" fontId="77" fillId="21" borderId="41" xfId="0" applyNumberFormat="1" applyFont="1" applyFill="1" applyBorder="1"/>
    <xf numFmtId="3" fontId="69" fillId="0" borderId="0" xfId="0" applyNumberFormat="1" applyFont="1" applyBorder="1"/>
    <xf numFmtId="164" fontId="69" fillId="0" borderId="0" xfId="0" applyNumberFormat="1" applyFont="1" applyFill="1" applyBorder="1"/>
    <xf numFmtId="164" fontId="69" fillId="0" borderId="0" xfId="0" applyNumberFormat="1" applyFont="1" applyBorder="1"/>
    <xf numFmtId="174" fontId="69" fillId="0" borderId="0" xfId="0" applyNumberFormat="1" applyFont="1" applyBorder="1"/>
    <xf numFmtId="3" fontId="29" fillId="0" borderId="0" xfId="0" applyNumberFormat="1" applyFont="1"/>
    <xf numFmtId="169" fontId="28" fillId="6" borderId="0" xfId="0" applyNumberFormat="1" applyFont="1" applyFill="1"/>
    <xf numFmtId="0" fontId="53" fillId="0" borderId="6" xfId="0" applyFont="1" applyBorder="1"/>
    <xf numFmtId="0" fontId="53" fillId="0" borderId="0" xfId="0" applyFont="1" applyBorder="1" applyAlignment="1">
      <alignment horizontal="left"/>
    </xf>
    <xf numFmtId="0" fontId="17" fillId="6" borderId="9" xfId="0" applyFont="1" applyFill="1" applyBorder="1"/>
    <xf numFmtId="0" fontId="53" fillId="6" borderId="0" xfId="0" applyFont="1" applyFill="1" applyBorder="1"/>
    <xf numFmtId="0" fontId="53" fillId="0" borderId="8" xfId="0" applyFont="1" applyBorder="1"/>
    <xf numFmtId="0" fontId="53" fillId="0" borderId="9" xfId="0" applyFont="1" applyBorder="1" applyAlignment="1">
      <alignment horizontal="left"/>
    </xf>
    <xf numFmtId="2" fontId="65" fillId="43" borderId="0" xfId="0" applyNumberFormat="1" applyFont="1" applyFill="1" applyBorder="1"/>
    <xf numFmtId="2" fontId="53" fillId="43" borderId="9" xfId="0" applyNumberFormat="1" applyFont="1" applyFill="1" applyBorder="1"/>
    <xf numFmtId="2" fontId="53" fillId="43" borderId="0" xfId="0" applyNumberFormat="1" applyFont="1" applyFill="1" applyBorder="1" applyAlignment="1">
      <alignment horizontal="center"/>
    </xf>
    <xf numFmtId="2" fontId="53" fillId="43" borderId="0" xfId="0" applyNumberFormat="1" applyFont="1" applyFill="1" applyBorder="1"/>
    <xf numFmtId="2" fontId="53" fillId="43" borderId="9" xfId="0" applyNumberFormat="1" applyFont="1" applyFill="1" applyBorder="1" applyAlignment="1">
      <alignment horizontal="center"/>
    </xf>
    <xf numFmtId="164" fontId="53" fillId="6" borderId="0" xfId="0" applyNumberFormat="1" applyFont="1" applyFill="1" applyBorder="1"/>
    <xf numFmtId="164" fontId="25" fillId="6" borderId="4" xfId="0" applyNumberFormat="1" applyFont="1" applyFill="1" applyBorder="1"/>
    <xf numFmtId="164" fontId="25" fillId="6" borderId="5" xfId="0" applyNumberFormat="1" applyFont="1" applyFill="1" applyBorder="1"/>
    <xf numFmtId="0" fontId="65" fillId="18" borderId="4" xfId="0" applyFont="1" applyFill="1" applyBorder="1"/>
    <xf numFmtId="0" fontId="17" fillId="18" borderId="4" xfId="0" applyFont="1" applyFill="1" applyBorder="1"/>
    <xf numFmtId="4" fontId="53" fillId="18" borderId="4" xfId="0" applyNumberFormat="1" applyFont="1" applyFill="1" applyBorder="1"/>
    <xf numFmtId="0" fontId="64" fillId="6" borderId="9" xfId="0" applyFont="1" applyFill="1" applyBorder="1"/>
    <xf numFmtId="0" fontId="115" fillId="6" borderId="3" xfId="0" applyFont="1" applyFill="1" applyBorder="1"/>
    <xf numFmtId="0" fontId="115" fillId="6" borderId="4" xfId="0" applyFont="1" applyFill="1" applyBorder="1"/>
    <xf numFmtId="0" fontId="118" fillId="0" borderId="4" xfId="0" applyFont="1" applyBorder="1"/>
    <xf numFmtId="0" fontId="118" fillId="6" borderId="5" xfId="0" applyFont="1" applyFill="1" applyBorder="1"/>
    <xf numFmtId="0" fontId="118" fillId="0" borderId="6" xfId="0" applyFont="1" applyBorder="1"/>
    <xf numFmtId="0" fontId="115" fillId="6" borderId="0" xfId="0" applyFont="1" applyFill="1" applyBorder="1"/>
    <xf numFmtId="0" fontId="118" fillId="0" borderId="0" xfId="0" applyFont="1" applyBorder="1"/>
    <xf numFmtId="0" fontId="118" fillId="6" borderId="7" xfId="0" applyFont="1" applyFill="1" applyBorder="1"/>
    <xf numFmtId="0" fontId="115" fillId="0" borderId="0" xfId="0" applyFont="1" applyBorder="1"/>
    <xf numFmtId="0" fontId="116" fillId="0" borderId="0" xfId="0" applyFont="1" applyBorder="1"/>
    <xf numFmtId="0" fontId="117" fillId="6" borderId="0" xfId="0" applyFont="1" applyFill="1" applyBorder="1"/>
    <xf numFmtId="2" fontId="117" fillId="6" borderId="0" xfId="0" applyNumberFormat="1" applyFont="1" applyFill="1" applyBorder="1"/>
    <xf numFmtId="0" fontId="53" fillId="18" borderId="4" xfId="0" applyFont="1" applyFill="1" applyBorder="1"/>
    <xf numFmtId="0" fontId="115" fillId="0" borderId="6" xfId="0" applyFont="1" applyBorder="1"/>
    <xf numFmtId="2" fontId="115" fillId="6" borderId="3" xfId="0" applyNumberFormat="1" applyFont="1" applyFill="1" applyBorder="1"/>
    <xf numFmtId="2" fontId="115" fillId="6" borderId="4" xfId="0" applyNumberFormat="1" applyFont="1" applyFill="1" applyBorder="1"/>
    <xf numFmtId="0" fontId="116" fillId="6" borderId="4" xfId="0" applyFont="1" applyFill="1" applyBorder="1"/>
    <xf numFmtId="0" fontId="17" fillId="6" borderId="4" xfId="0" applyFont="1" applyFill="1" applyBorder="1"/>
    <xf numFmtId="0" fontId="17" fillId="0" borderId="8" xfId="0" applyFont="1" applyBorder="1"/>
    <xf numFmtId="0" fontId="64" fillId="6" borderId="20" xfId="0" applyFont="1" applyFill="1" applyBorder="1"/>
    <xf numFmtId="0" fontId="64" fillId="6" borderId="35" xfId="0" applyFont="1" applyFill="1" applyBorder="1"/>
    <xf numFmtId="0" fontId="30" fillId="0" borderId="20" xfId="0" applyFont="1" applyBorder="1" applyAlignment="1">
      <alignment horizontal="center"/>
    </xf>
    <xf numFmtId="2" fontId="65" fillId="15" borderId="20" xfId="0" applyNumberFormat="1" applyFont="1" applyFill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2" fontId="53" fillId="6" borderId="0" xfId="0" applyNumberFormat="1" applyFont="1" applyFill="1" applyBorder="1" applyAlignment="1">
      <alignment horizontal="center"/>
    </xf>
    <xf numFmtId="0" fontId="17" fillId="6" borderId="7" xfId="0" applyFont="1" applyFill="1" applyBorder="1"/>
    <xf numFmtId="0" fontId="17" fillId="6" borderId="10" xfId="0" applyFont="1" applyFill="1" applyBorder="1"/>
    <xf numFmtId="0" fontId="64" fillId="0" borderId="6" xfId="0" applyFont="1" applyBorder="1"/>
    <xf numFmtId="2" fontId="64" fillId="0" borderId="7" xfId="0" applyNumberFormat="1" applyFont="1" applyBorder="1"/>
    <xf numFmtId="0" fontId="58" fillId="0" borderId="0" xfId="0" applyFont="1" applyBorder="1"/>
    <xf numFmtId="0" fontId="57" fillId="0" borderId="0" xfId="0" applyFont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1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protection locked="0"/>
    </xf>
    <xf numFmtId="0" fontId="52" fillId="0" borderId="3" xfId="0" applyFont="1" applyBorder="1" applyAlignment="1" applyProtection="1">
      <alignment horizontal="left"/>
      <protection locked="0"/>
    </xf>
    <xf numFmtId="0" fontId="52" fillId="0" borderId="4" xfId="0" applyFont="1" applyBorder="1" applyAlignment="1" applyProtection="1">
      <alignment horizontal="left"/>
      <protection locked="0"/>
    </xf>
    <xf numFmtId="0" fontId="52" fillId="0" borderId="5" xfId="0" applyFont="1" applyBorder="1" applyAlignment="1" applyProtection="1">
      <alignment horizontal="left"/>
      <protection locked="0"/>
    </xf>
    <xf numFmtId="0" fontId="35" fillId="6" borderId="16" xfId="2" applyFont="1" applyFill="1" applyBorder="1" applyAlignment="1">
      <alignment horizontal="center" vertical="center"/>
    </xf>
    <xf numFmtId="0" fontId="29" fillId="6" borderId="17" xfId="3" applyFont="1" applyFill="1" applyBorder="1" applyAlignment="1">
      <alignment vertical="center"/>
    </xf>
    <xf numFmtId="0" fontId="29" fillId="6" borderId="18" xfId="3" applyFont="1" applyFill="1" applyBorder="1" applyAlignment="1">
      <alignment vertical="center"/>
    </xf>
    <xf numFmtId="0" fontId="87" fillId="0" borderId="4" xfId="0" applyFont="1" applyBorder="1" applyAlignment="1">
      <alignment horizontal="center"/>
    </xf>
    <xf numFmtId="0" fontId="87" fillId="0" borderId="5" xfId="0" applyFont="1" applyBorder="1" applyAlignment="1">
      <alignment horizontal="center"/>
    </xf>
    <xf numFmtId="0" fontId="68" fillId="0" borderId="43" xfId="0" applyFont="1" applyBorder="1" applyAlignment="1">
      <alignment horizontal="center" vertical="center" wrapText="1"/>
    </xf>
    <xf numFmtId="0" fontId="68" fillId="0" borderId="25" xfId="0" applyFont="1" applyBorder="1" applyAlignment="1">
      <alignment horizontal="center" vertical="center" wrapText="1"/>
    </xf>
  </cellXfs>
  <cellStyles count="8">
    <cellStyle name="Lien hypertexte" xfId="1" builtinId="8"/>
    <cellStyle name="Motif" xfId="3" xr:uid="{00000000-0005-0000-0000-000001000000}"/>
    <cellStyle name="Motif 2" xfId="7" xr:uid="{150F6FF8-D4B9-47E0-B167-09EB69E3A937}"/>
    <cellStyle name="Normal" xfId="0" builtinId="0"/>
    <cellStyle name="Normal 2" xfId="5" xr:uid="{00000000-0005-0000-0000-000003000000}"/>
    <cellStyle name="Normal 3" xfId="6" xr:uid="{00000000-0005-0000-0000-000004000000}"/>
    <cellStyle name="Normal_A23-2010" xfId="2" xr:uid="{00000000-0005-0000-0000-000005000000}"/>
    <cellStyle name="Pourcentag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40308087291734E-2"/>
          <c:y val="2.4916943521594691E-2"/>
          <c:w val="0.89602053915275959"/>
          <c:h val="0.79734219269102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[1]Data!$I$40</c:f>
              <c:strCache>
                <c:ptCount val="1"/>
                <c:pt idx="0">
                  <c:v>ratio hors case diagnonale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E96-49B6-9288-676603C81022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E96-49B6-9288-676603C81022}"/>
              </c:ext>
            </c:extLst>
          </c:dPt>
          <c:dPt>
            <c:idx val="1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2-4E96-49B6-9288-676603C81022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4E96-49B6-9288-676603C81022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4E96-49B6-9288-676603C81022}"/>
              </c:ext>
            </c:extLst>
          </c:dPt>
          <c:dPt>
            <c:idx val="2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4E96-49B6-9288-676603C81022}"/>
              </c:ext>
            </c:extLst>
          </c:dPt>
          <c:dPt>
            <c:idx val="26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6-4E96-49B6-9288-676603C81022}"/>
              </c:ext>
            </c:extLst>
          </c:dPt>
          <c:dPt>
            <c:idx val="27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7-4E96-49B6-9288-676603C81022}"/>
              </c:ext>
            </c:extLst>
          </c:dPt>
          <c:cat>
            <c:strRef>
              <c:f>[1]Data!$H$41:$H$69</c:f>
              <c:strCache>
                <c:ptCount val="29"/>
                <c:pt idx="0">
                  <c:v>Pologne</c:v>
                </c:pt>
                <c:pt idx="1">
                  <c:v>Slovénie</c:v>
                </c:pt>
                <c:pt idx="2">
                  <c:v>Slovaquie</c:v>
                </c:pt>
                <c:pt idx="3">
                  <c:v>Allemagne</c:v>
                </c:pt>
                <c:pt idx="4">
                  <c:v>Autriche</c:v>
                </c:pt>
                <c:pt idx="5">
                  <c:v>Tchéquie</c:v>
                </c:pt>
                <c:pt idx="6">
                  <c:v>Pays-Bas</c:v>
                </c:pt>
                <c:pt idx="7">
                  <c:v>Suède</c:v>
                </c:pt>
                <c:pt idx="8">
                  <c:v>Total pays</c:v>
                </c:pt>
                <c:pt idx="9">
                  <c:v>Espagne</c:v>
                </c:pt>
                <c:pt idx="10">
                  <c:v>Grèce</c:v>
                </c:pt>
                <c:pt idx="11">
                  <c:v>Luxembourg</c:v>
                </c:pt>
                <c:pt idx="12">
                  <c:v>Roy.-Uni</c:v>
                </c:pt>
                <c:pt idx="13">
                  <c:v>Chypre</c:v>
                </c:pt>
                <c:pt idx="14">
                  <c:v>Portugal</c:v>
                </c:pt>
                <c:pt idx="15">
                  <c:v>Irlande</c:v>
                </c:pt>
                <c:pt idx="16">
                  <c:v>Lettonie</c:v>
                </c:pt>
                <c:pt idx="17">
                  <c:v>Italie</c:v>
                </c:pt>
                <c:pt idx="18">
                  <c:v>Croatie</c:v>
                </c:pt>
                <c:pt idx="19">
                  <c:v>France pr.</c:v>
                </c:pt>
                <c:pt idx="20">
                  <c:v>Finlande</c:v>
                </c:pt>
                <c:pt idx="21">
                  <c:v>Belgique</c:v>
                </c:pt>
                <c:pt idx="22">
                  <c:v>France</c:v>
                </c:pt>
                <c:pt idx="23">
                  <c:v>Roumanie</c:v>
                </c:pt>
                <c:pt idx="24">
                  <c:v>Estonie</c:v>
                </c:pt>
                <c:pt idx="25">
                  <c:v>Hongrie</c:v>
                </c:pt>
                <c:pt idx="26">
                  <c:v>Danemark</c:v>
                </c:pt>
                <c:pt idx="27">
                  <c:v>États-Unis</c:v>
                </c:pt>
                <c:pt idx="28">
                  <c:v>Canada</c:v>
                </c:pt>
              </c:strCache>
            </c:strRef>
          </c:cat>
          <c:val>
            <c:numRef>
              <c:f>[1]Data!$I$41:$I$69</c:f>
              <c:numCache>
                <c:formatCode>General</c:formatCode>
                <c:ptCount val="29"/>
                <c:pt idx="0">
                  <c:v>0.58256905818262172</c:v>
                </c:pt>
                <c:pt idx="1">
                  <c:v>0.64259301678719849</c:v>
                </c:pt>
                <c:pt idx="2">
                  <c:v>0.66558478348135663</c:v>
                </c:pt>
                <c:pt idx="3">
                  <c:v>0.67246683472180768</c:v>
                </c:pt>
                <c:pt idx="4">
                  <c:v>0.67443657890865283</c:v>
                </c:pt>
                <c:pt idx="5">
                  <c:v>0.70289071233132339</c:v>
                </c:pt>
                <c:pt idx="6">
                  <c:v>0.71087260618214676</c:v>
                </c:pt>
                <c:pt idx="7">
                  <c:v>0.71492656414523803</c:v>
                </c:pt>
                <c:pt idx="8">
                  <c:v>0.75999392054200032</c:v>
                </c:pt>
                <c:pt idx="9">
                  <c:v>0.76761038938377379</c:v>
                </c:pt>
                <c:pt idx="10">
                  <c:v>0.76976924570331795</c:v>
                </c:pt>
                <c:pt idx="11">
                  <c:v>0.7831515985024613</c:v>
                </c:pt>
                <c:pt idx="12">
                  <c:v>0.78417519833286864</c:v>
                </c:pt>
                <c:pt idx="13">
                  <c:v>0.7880911325531057</c:v>
                </c:pt>
                <c:pt idx="14">
                  <c:v>0.79423724920083683</c:v>
                </c:pt>
                <c:pt idx="15">
                  <c:v>0.79889269626487658</c:v>
                </c:pt>
                <c:pt idx="16">
                  <c:v>0.81626226305354455</c:v>
                </c:pt>
                <c:pt idx="17">
                  <c:v>0.82009301289893322</c:v>
                </c:pt>
                <c:pt idx="18">
                  <c:v>0.82058645514780837</c:v>
                </c:pt>
                <c:pt idx="19">
                  <c:v>0.82746961412042219</c:v>
                </c:pt>
                <c:pt idx="20">
                  <c:v>0.82887057079870907</c:v>
                </c:pt>
                <c:pt idx="21">
                  <c:v>0.82951254600825808</c:v>
                </c:pt>
                <c:pt idx="22">
                  <c:v>0.83882503629855332</c:v>
                </c:pt>
                <c:pt idx="23">
                  <c:v>0.84496864182707665</c:v>
                </c:pt>
                <c:pt idx="24">
                  <c:v>0.86521067849423128</c:v>
                </c:pt>
                <c:pt idx="25">
                  <c:v>0.88484415585404541</c:v>
                </c:pt>
                <c:pt idx="26">
                  <c:v>0.95484036146118434</c:v>
                </c:pt>
                <c:pt idx="27">
                  <c:v>0.8261613369454669</c:v>
                </c:pt>
                <c:pt idx="28">
                  <c:v>0.86497131439910568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96-49B6-9288-676603C81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63232"/>
        <c:axId val="90477312"/>
      </c:barChart>
      <c:catAx>
        <c:axId val="904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477312"/>
        <c:crosses val="autoZero"/>
        <c:auto val="1"/>
        <c:lblAlgn val="ctr"/>
        <c:lblOffset val="100"/>
        <c:noMultiLvlLbl val="0"/>
      </c:catAx>
      <c:valAx>
        <c:axId val="9047731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46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87968952134565E-2"/>
          <c:y val="2.4911032028469848E-2"/>
          <c:w val="0.89650711513583436"/>
          <c:h val="0.78647686832740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[1]Data!$I$77</c:f>
              <c:strCache>
                <c:ptCount val="1"/>
                <c:pt idx="0">
                  <c:v>part case diagonale</c:v>
                </c:pt>
              </c:strCache>
            </c:strRef>
          </c:tx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E18-4C20-A420-86AB8D20C39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8E18-4C20-A420-86AB8D20C390}"/>
              </c:ext>
            </c:extLst>
          </c:dPt>
          <c:cat>
            <c:strRef>
              <c:f>[1]Data!$H$78:$H$103</c:f>
              <c:strCache>
                <c:ptCount val="26"/>
                <c:pt idx="0">
                  <c:v>Grèce</c:v>
                </c:pt>
                <c:pt idx="1">
                  <c:v>Suède</c:v>
                </c:pt>
                <c:pt idx="2">
                  <c:v>Roumanie</c:v>
                </c:pt>
                <c:pt idx="3">
                  <c:v>Allemagne</c:v>
                </c:pt>
                <c:pt idx="4">
                  <c:v>Estonie</c:v>
                </c:pt>
                <c:pt idx="5">
                  <c:v>Luxembourg</c:v>
                </c:pt>
                <c:pt idx="6">
                  <c:v>Finlande</c:v>
                </c:pt>
                <c:pt idx="7">
                  <c:v>Hongrie</c:v>
                </c:pt>
                <c:pt idx="8">
                  <c:v>Pologne</c:v>
                </c:pt>
                <c:pt idx="9">
                  <c:v>Autriche</c:v>
                </c:pt>
                <c:pt idx="10">
                  <c:v>Croatie</c:v>
                </c:pt>
                <c:pt idx="11">
                  <c:v>Total pays</c:v>
                </c:pt>
                <c:pt idx="12">
                  <c:v>Slovénie</c:v>
                </c:pt>
                <c:pt idx="13">
                  <c:v>Tchéquie</c:v>
                </c:pt>
                <c:pt idx="14">
                  <c:v>Pays-Bas</c:v>
                </c:pt>
                <c:pt idx="15">
                  <c:v>Espagne</c:v>
                </c:pt>
                <c:pt idx="16">
                  <c:v>Irlande</c:v>
                </c:pt>
                <c:pt idx="17">
                  <c:v>Portugal</c:v>
                </c:pt>
                <c:pt idx="18">
                  <c:v>Slovaquie</c:v>
                </c:pt>
                <c:pt idx="19">
                  <c:v>France</c:v>
                </c:pt>
                <c:pt idx="20">
                  <c:v>Royaume-Uni</c:v>
                </c:pt>
                <c:pt idx="21">
                  <c:v>Italie</c:v>
                </c:pt>
                <c:pt idx="22">
                  <c:v>Chypre</c:v>
                </c:pt>
                <c:pt idx="23">
                  <c:v>Lettonie</c:v>
                </c:pt>
                <c:pt idx="24">
                  <c:v>Belgique</c:v>
                </c:pt>
                <c:pt idx="25">
                  <c:v>Danemark</c:v>
                </c:pt>
              </c:strCache>
            </c:strRef>
          </c:cat>
          <c:val>
            <c:numRef>
              <c:f>[1]Data!$I$78:$I$103</c:f>
              <c:numCache>
                <c:formatCode>General</c:formatCode>
                <c:ptCount val="26"/>
                <c:pt idx="0">
                  <c:v>0.16080807612691939</c:v>
                </c:pt>
                <c:pt idx="1">
                  <c:v>0.16922214843605976</c:v>
                </c:pt>
                <c:pt idx="2">
                  <c:v>0.18076798893647905</c:v>
                </c:pt>
                <c:pt idx="3">
                  <c:v>0.18825390700366584</c:v>
                </c:pt>
                <c:pt idx="4">
                  <c:v>0.30313926354256865</c:v>
                </c:pt>
                <c:pt idx="5">
                  <c:v>0.3814846436070794</c:v>
                </c:pt>
                <c:pt idx="6">
                  <c:v>0.40784451261005666</c:v>
                </c:pt>
                <c:pt idx="7">
                  <c:v>0.41635000900746155</c:v>
                </c:pt>
                <c:pt idx="8">
                  <c:v>0.4735685235150599</c:v>
                </c:pt>
                <c:pt idx="9">
                  <c:v>0.49781915000494736</c:v>
                </c:pt>
                <c:pt idx="10">
                  <c:v>0.50966821698542553</c:v>
                </c:pt>
                <c:pt idx="11">
                  <c:v>0.52439436732035882</c:v>
                </c:pt>
                <c:pt idx="12">
                  <c:v>0.54121852240049451</c:v>
                </c:pt>
                <c:pt idx="13">
                  <c:v>0.54490655781476005</c:v>
                </c:pt>
                <c:pt idx="14">
                  <c:v>0.5516643003628332</c:v>
                </c:pt>
                <c:pt idx="15">
                  <c:v>0.55680050846723128</c:v>
                </c:pt>
                <c:pt idx="16">
                  <c:v>0.58102344425137298</c:v>
                </c:pt>
                <c:pt idx="17">
                  <c:v>0.58375182406858506</c:v>
                </c:pt>
                <c:pt idx="18">
                  <c:v>0.61698896971105899</c:v>
                </c:pt>
                <c:pt idx="19">
                  <c:v>0.66553216296289652</c:v>
                </c:pt>
                <c:pt idx="20">
                  <c:v>0.67161707779926927</c:v>
                </c:pt>
                <c:pt idx="21">
                  <c:v>0.69105920320847236</c:v>
                </c:pt>
                <c:pt idx="22">
                  <c:v>0.69370820857852122</c:v>
                </c:pt>
                <c:pt idx="23">
                  <c:v>0.74180209141287179</c:v>
                </c:pt>
                <c:pt idx="24">
                  <c:v>0.75670131999622081</c:v>
                </c:pt>
                <c:pt idx="25">
                  <c:v>0.95113541293175574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8-4C20-A420-86AB8D20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40384"/>
        <c:axId val="90641920"/>
      </c:barChart>
      <c:catAx>
        <c:axId val="9064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641920"/>
        <c:crosses val="autoZero"/>
        <c:auto val="1"/>
        <c:lblAlgn val="ctr"/>
        <c:lblOffset val="100"/>
        <c:noMultiLvlLbl val="0"/>
      </c:catAx>
      <c:valAx>
        <c:axId val="9064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64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530679</xdr:colOff>
      <xdr:row>5</xdr:row>
      <xdr:rowOff>299357</xdr:rowOff>
    </xdr:from>
    <xdr:to>
      <xdr:col>15</xdr:col>
      <xdr:colOff>714828</xdr:colOff>
      <xdr:row>6</xdr:row>
      <xdr:rowOff>217715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2571750" y="1632857"/>
          <a:ext cx="8715828" cy="23132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721179</xdr:colOff>
      <xdr:row>5</xdr:row>
      <xdr:rowOff>190501</xdr:rowOff>
    </xdr:from>
    <xdr:to>
      <xdr:col>2</xdr:col>
      <xdr:colOff>95251</xdr:colOff>
      <xdr:row>5</xdr:row>
      <xdr:rowOff>217714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020536" y="1632858"/>
          <a:ext cx="925286" cy="2721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176893</xdr:colOff>
      <xdr:row>5</xdr:row>
      <xdr:rowOff>13607</xdr:rowOff>
    </xdr:from>
    <xdr:to>
      <xdr:col>17</xdr:col>
      <xdr:colOff>598714</xdr:colOff>
      <xdr:row>6</xdr:row>
      <xdr:rowOff>122464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11511643" y="1034143"/>
          <a:ext cx="1279071" cy="42182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508000</xdr:colOff>
      <xdr:row>4</xdr:row>
      <xdr:rowOff>190500</xdr:rowOff>
    </xdr:from>
    <xdr:to>
      <xdr:col>23</xdr:col>
      <xdr:colOff>660400</xdr:colOff>
      <xdr:row>20</xdr:row>
      <xdr:rowOff>114300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16637000" y="5981700"/>
          <a:ext cx="5638800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12700</xdr:colOff>
      <xdr:row>7</xdr:row>
      <xdr:rowOff>0</xdr:rowOff>
    </xdr:from>
    <xdr:to>
      <xdr:col>23</xdr:col>
      <xdr:colOff>342900</xdr:colOff>
      <xdr:row>23</xdr:row>
      <xdr:rowOff>50800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11582400" y="5105400"/>
          <a:ext cx="5219700" cy="47371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482600</xdr:colOff>
      <xdr:row>5</xdr:row>
      <xdr:rowOff>0</xdr:rowOff>
    </xdr:from>
    <xdr:to>
      <xdr:col>19</xdr:col>
      <xdr:colOff>304800</xdr:colOff>
      <xdr:row>11</xdr:row>
      <xdr:rowOff>88900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11912600" y="3949700"/>
          <a:ext cx="2616200" cy="14732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14</xdr:row>
      <xdr:rowOff>63500</xdr:rowOff>
    </xdr:from>
    <xdr:to>
      <xdr:col>23</xdr:col>
      <xdr:colOff>381000</xdr:colOff>
      <xdr:row>14</xdr:row>
      <xdr:rowOff>76200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12001500" y="6921500"/>
          <a:ext cx="6540500" cy="127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557893</xdr:colOff>
      <xdr:row>17</xdr:row>
      <xdr:rowOff>185056</xdr:rowOff>
    </xdr:from>
    <xdr:to>
      <xdr:col>18</xdr:col>
      <xdr:colOff>204107</xdr:colOff>
      <xdr:row>17</xdr:row>
      <xdr:rowOff>190500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flipV="1">
          <a:off x="11171464" y="5478235"/>
          <a:ext cx="2136322" cy="544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149678</xdr:colOff>
      <xdr:row>5</xdr:row>
      <xdr:rowOff>0</xdr:rowOff>
    </xdr:from>
    <xdr:to>
      <xdr:col>23</xdr:col>
      <xdr:colOff>462643</xdr:colOff>
      <xdr:row>7</xdr:row>
      <xdr:rowOff>0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3062857" y="1224643"/>
          <a:ext cx="51435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600" b="1" i="1">
              <a:latin typeface="Arial" pitchFamily="34" charset="0"/>
              <a:cs typeface="Arial" pitchFamily="34" charset="0"/>
            </a:rPr>
            <a:t>ajout de 4 Mds de CI des ménages bailleurs et un peu des propriétaires occupants leur logement</a:t>
          </a:r>
        </a:p>
      </xdr:txBody>
    </xdr:sp>
    <xdr:clientData/>
  </xdr:twoCellAnchor>
  <xdr:twoCellAnchor>
    <xdr:from>
      <xdr:col>13</xdr:col>
      <xdr:colOff>612321</xdr:colOff>
      <xdr:row>9</xdr:row>
      <xdr:rowOff>81643</xdr:rowOff>
    </xdr:from>
    <xdr:to>
      <xdr:col>19</xdr:col>
      <xdr:colOff>244928</xdr:colOff>
      <xdr:row>9</xdr:row>
      <xdr:rowOff>95252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 flipV="1">
          <a:off x="9933214" y="2911929"/>
          <a:ext cx="4422321" cy="1360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231322</xdr:colOff>
      <xdr:row>5</xdr:row>
      <xdr:rowOff>163287</xdr:rowOff>
    </xdr:from>
    <xdr:to>
      <xdr:col>15</xdr:col>
      <xdr:colOff>612322</xdr:colOff>
      <xdr:row>6</xdr:row>
      <xdr:rowOff>149680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45CD2C1D-873E-4080-A8AC-96EA04C79F18}"/>
            </a:ext>
          </a:extLst>
        </xdr:cNvPr>
        <xdr:cNvCxnSpPr/>
      </xdr:nvCxnSpPr>
      <xdr:spPr>
        <a:xfrm>
          <a:off x="8436429" y="1605644"/>
          <a:ext cx="2911929" cy="32657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108858</xdr:colOff>
      <xdr:row>8</xdr:row>
      <xdr:rowOff>64409</xdr:rowOff>
    </xdr:from>
    <xdr:to>
      <xdr:col>23</xdr:col>
      <xdr:colOff>576036</xdr:colOff>
      <xdr:row>8</xdr:row>
      <xdr:rowOff>81643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3ABD2BE8-B88A-45FC-AAF5-E04E387136DA}"/>
            </a:ext>
          </a:extLst>
        </xdr:cNvPr>
        <xdr:cNvCxnSpPr/>
      </xdr:nvCxnSpPr>
      <xdr:spPr>
        <a:xfrm flipV="1">
          <a:off x="12491358" y="2295980"/>
          <a:ext cx="6018892" cy="17234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217713</xdr:colOff>
      <xdr:row>8</xdr:row>
      <xdr:rowOff>136072</xdr:rowOff>
    </xdr:from>
    <xdr:to>
      <xdr:col>23</xdr:col>
      <xdr:colOff>462642</xdr:colOff>
      <xdr:row>12</xdr:row>
      <xdr:rowOff>95249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3734DEB2-361B-4E8A-B4FA-D06292FD7CD7}"/>
            </a:ext>
          </a:extLst>
        </xdr:cNvPr>
        <xdr:cNvCxnSpPr/>
      </xdr:nvCxnSpPr>
      <xdr:spPr>
        <a:xfrm>
          <a:off x="12600213" y="2367643"/>
          <a:ext cx="5796643" cy="131989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342900</xdr:colOff>
      <xdr:row>30</xdr:row>
      <xdr:rowOff>85725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323850"/>
          <a:ext cx="14287500" cy="4619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85725</xdr:colOff>
      <xdr:row>26</xdr:row>
      <xdr:rowOff>152400</xdr:rowOff>
    </xdr:from>
    <xdr:to>
      <xdr:col>14</xdr:col>
      <xdr:colOff>9525</xdr:colOff>
      <xdr:row>38</xdr:row>
      <xdr:rowOff>152400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0800000" flipV="1">
          <a:off x="3133725" y="4362450"/>
          <a:ext cx="7543800" cy="2343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29</xdr:row>
      <xdr:rowOff>9524</xdr:rowOff>
    </xdr:from>
    <xdr:to>
      <xdr:col>14</xdr:col>
      <xdr:colOff>66675</xdr:colOff>
      <xdr:row>37</xdr:row>
      <xdr:rowOff>66674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0800000" flipV="1">
          <a:off x="4143375" y="4705349"/>
          <a:ext cx="7581900" cy="16859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</xdr:row>
      <xdr:rowOff>123825</xdr:rowOff>
    </xdr:from>
    <xdr:to>
      <xdr:col>12</xdr:col>
      <xdr:colOff>476250</xdr:colOff>
      <xdr:row>32</xdr:row>
      <xdr:rowOff>190500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H="1">
          <a:off x="4152900" y="1743075"/>
          <a:ext cx="6457950" cy="36290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8</xdr:col>
      <xdr:colOff>647143</xdr:colOff>
      <xdr:row>39</xdr:row>
      <xdr:rowOff>56414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3E3BC0-DB43-4934-AB9A-979D8BC12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485775"/>
          <a:ext cx="4457143" cy="5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42</xdr:row>
      <xdr:rowOff>47625</xdr:rowOff>
    </xdr:from>
    <xdr:to>
      <xdr:col>22</xdr:col>
      <xdr:colOff>47625</xdr:colOff>
      <xdr:row>73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98AE170-10D6-5666-D817-4EDFB6A22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657225</xdr:colOff>
      <xdr:row>76</xdr:row>
      <xdr:rowOff>57150</xdr:rowOff>
    </xdr:from>
    <xdr:to>
      <xdr:col>22</xdr:col>
      <xdr:colOff>19050</xdr:colOff>
      <xdr:row>105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26C4E6A-1D69-CEF9-8C44-8FF211DE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Tableau-120-BTP-ratio-eurosat-OC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TP1/Synthese%20SD%202021%20-%20Cop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 (2)"/>
      <sheetName val="Canada"/>
      <sheetName val="Etats-Unis"/>
    </sheetNames>
    <sheetDataSet>
      <sheetData sheetId="0">
        <row r="40">
          <cell r="I40" t="str">
            <v>ratio hors case diagnonale</v>
          </cell>
        </row>
        <row r="41">
          <cell r="H41" t="str">
            <v>Pologne</v>
          </cell>
          <cell r="I41">
            <v>0.58256905818262172</v>
          </cell>
        </row>
        <row r="42">
          <cell r="H42" t="str">
            <v>Slovénie</v>
          </cell>
          <cell r="I42">
            <v>0.64259301678719849</v>
          </cell>
        </row>
        <row r="43">
          <cell r="H43" t="str">
            <v>Slovaquie</v>
          </cell>
          <cell r="I43">
            <v>0.66558478348135663</v>
          </cell>
        </row>
        <row r="44">
          <cell r="H44" t="str">
            <v>Allemagne</v>
          </cell>
          <cell r="I44">
            <v>0.67246683472180768</v>
          </cell>
        </row>
        <row r="45">
          <cell r="H45" t="str">
            <v>Autriche</v>
          </cell>
          <cell r="I45">
            <v>0.67443657890865283</v>
          </cell>
        </row>
        <row r="46">
          <cell r="H46" t="str">
            <v>Tchéquie</v>
          </cell>
          <cell r="I46">
            <v>0.70289071233132339</v>
          </cell>
        </row>
        <row r="47">
          <cell r="H47" t="str">
            <v>Pays-Bas</v>
          </cell>
          <cell r="I47">
            <v>0.71087260618214676</v>
          </cell>
        </row>
        <row r="48">
          <cell r="H48" t="str">
            <v>Suède</v>
          </cell>
          <cell r="I48">
            <v>0.71492656414523803</v>
          </cell>
        </row>
        <row r="49">
          <cell r="H49" t="str">
            <v>Total pays</v>
          </cell>
          <cell r="I49">
            <v>0.75999392054200032</v>
          </cell>
        </row>
        <row r="50">
          <cell r="H50" t="str">
            <v>Espagne</v>
          </cell>
          <cell r="I50">
            <v>0.76761038938377379</v>
          </cell>
        </row>
        <row r="51">
          <cell r="H51" t="str">
            <v>Grèce</v>
          </cell>
          <cell r="I51">
            <v>0.76976924570331795</v>
          </cell>
        </row>
        <row r="52">
          <cell r="H52" t="str">
            <v>Luxembourg</v>
          </cell>
          <cell r="I52">
            <v>0.7831515985024613</v>
          </cell>
        </row>
        <row r="53">
          <cell r="H53" t="str">
            <v>Roy.-Uni</v>
          </cell>
          <cell r="I53">
            <v>0.78417519833286864</v>
          </cell>
        </row>
        <row r="54">
          <cell r="H54" t="str">
            <v>Chypre</v>
          </cell>
          <cell r="I54">
            <v>0.7880911325531057</v>
          </cell>
        </row>
        <row r="55">
          <cell r="H55" t="str">
            <v>Portugal</v>
          </cell>
          <cell r="I55">
            <v>0.79423724920083683</v>
          </cell>
        </row>
        <row r="56">
          <cell r="H56" t="str">
            <v>Irlande</v>
          </cell>
          <cell r="I56">
            <v>0.79889269626487658</v>
          </cell>
        </row>
        <row r="57">
          <cell r="H57" t="str">
            <v>Lettonie</v>
          </cell>
          <cell r="I57">
            <v>0.81626226305354455</v>
          </cell>
        </row>
        <row r="58">
          <cell r="H58" t="str">
            <v>Italie</v>
          </cell>
          <cell r="I58">
            <v>0.82009301289893322</v>
          </cell>
        </row>
        <row r="59">
          <cell r="H59" t="str">
            <v>Croatie</v>
          </cell>
          <cell r="I59">
            <v>0.82058645514780837</v>
          </cell>
        </row>
        <row r="60">
          <cell r="H60" t="str">
            <v>France pr.</v>
          </cell>
          <cell r="I60">
            <v>0.82746961412042219</v>
          </cell>
        </row>
        <row r="61">
          <cell r="H61" t="str">
            <v>Finlande</v>
          </cell>
          <cell r="I61">
            <v>0.82887057079870907</v>
          </cell>
        </row>
        <row r="62">
          <cell r="H62" t="str">
            <v>Belgique</v>
          </cell>
          <cell r="I62">
            <v>0.82951254600825808</v>
          </cell>
        </row>
        <row r="63">
          <cell r="H63" t="str">
            <v>France</v>
          </cell>
          <cell r="I63">
            <v>0.83882503629855332</v>
          </cell>
        </row>
        <row r="64">
          <cell r="H64" t="str">
            <v>Roumanie</v>
          </cell>
          <cell r="I64">
            <v>0.84496864182707665</v>
          </cell>
        </row>
        <row r="65">
          <cell r="H65" t="str">
            <v>Estonie</v>
          </cell>
          <cell r="I65">
            <v>0.86521067849423128</v>
          </cell>
        </row>
        <row r="66">
          <cell r="H66" t="str">
            <v>Hongrie</v>
          </cell>
          <cell r="I66">
            <v>0.88484415585404541</v>
          </cell>
        </row>
        <row r="67">
          <cell r="H67" t="str">
            <v>Danemark</v>
          </cell>
          <cell r="I67">
            <v>0.95484036146118434</v>
          </cell>
        </row>
        <row r="68">
          <cell r="H68" t="str">
            <v>États-Unis</v>
          </cell>
          <cell r="I68">
            <v>0.8261613369454669</v>
          </cell>
        </row>
        <row r="69">
          <cell r="H69" t="str">
            <v>Canada</v>
          </cell>
          <cell r="I69">
            <v>0.86497131439910568</v>
          </cell>
        </row>
        <row r="77">
          <cell r="I77" t="str">
            <v>part case diagonale</v>
          </cell>
        </row>
        <row r="78">
          <cell r="H78" t="str">
            <v>Grèce</v>
          </cell>
          <cell r="I78">
            <v>0.16080807612691939</v>
          </cell>
        </row>
        <row r="79">
          <cell r="H79" t="str">
            <v>Suède</v>
          </cell>
          <cell r="I79">
            <v>0.16922214843605976</v>
          </cell>
        </row>
        <row r="80">
          <cell r="H80" t="str">
            <v>Roumanie</v>
          </cell>
          <cell r="I80">
            <v>0.18076798893647905</v>
          </cell>
        </row>
        <row r="81">
          <cell r="H81" t="str">
            <v>Allemagne</v>
          </cell>
          <cell r="I81">
            <v>0.18825390700366584</v>
          </cell>
        </row>
        <row r="82">
          <cell r="H82" t="str">
            <v>Estonie</v>
          </cell>
          <cell r="I82">
            <v>0.30313926354256865</v>
          </cell>
        </row>
        <row r="83">
          <cell r="H83" t="str">
            <v>Luxembourg</v>
          </cell>
          <cell r="I83">
            <v>0.3814846436070794</v>
          </cell>
        </row>
        <row r="84">
          <cell r="H84" t="str">
            <v>Finlande</v>
          </cell>
          <cell r="I84">
            <v>0.40784451261005666</v>
          </cell>
        </row>
        <row r="85">
          <cell r="H85" t="str">
            <v>Hongrie</v>
          </cell>
          <cell r="I85">
            <v>0.41635000900746155</v>
          </cell>
        </row>
        <row r="86">
          <cell r="H86" t="str">
            <v>Pologne</v>
          </cell>
          <cell r="I86">
            <v>0.4735685235150599</v>
          </cell>
        </row>
        <row r="87">
          <cell r="H87" t="str">
            <v>Autriche</v>
          </cell>
          <cell r="I87">
            <v>0.49781915000494736</v>
          </cell>
        </row>
        <row r="88">
          <cell r="H88" t="str">
            <v>Croatie</v>
          </cell>
          <cell r="I88">
            <v>0.50966821698542553</v>
          </cell>
        </row>
        <row r="89">
          <cell r="H89" t="str">
            <v>Total pays</v>
          </cell>
          <cell r="I89">
            <v>0.52439436732035882</v>
          </cell>
        </row>
        <row r="90">
          <cell r="H90" t="str">
            <v>Slovénie</v>
          </cell>
          <cell r="I90">
            <v>0.54121852240049451</v>
          </cell>
        </row>
        <row r="91">
          <cell r="H91" t="str">
            <v>Tchéquie</v>
          </cell>
          <cell r="I91">
            <v>0.54490655781476005</v>
          </cell>
        </row>
        <row r="92">
          <cell r="H92" t="str">
            <v>Pays-Bas</v>
          </cell>
          <cell r="I92">
            <v>0.5516643003628332</v>
          </cell>
        </row>
        <row r="93">
          <cell r="H93" t="str">
            <v>Espagne</v>
          </cell>
          <cell r="I93">
            <v>0.55680050846723128</v>
          </cell>
        </row>
        <row r="94">
          <cell r="H94" t="str">
            <v>Irlande</v>
          </cell>
          <cell r="I94">
            <v>0.58102344425137298</v>
          </cell>
        </row>
        <row r="95">
          <cell r="H95" t="str">
            <v>Portugal</v>
          </cell>
          <cell r="I95">
            <v>0.58375182406858506</v>
          </cell>
        </row>
        <row r="96">
          <cell r="H96" t="str">
            <v>Slovaquie</v>
          </cell>
          <cell r="I96">
            <v>0.61698896971105899</v>
          </cell>
        </row>
        <row r="97">
          <cell r="H97" t="str">
            <v>France</v>
          </cell>
          <cell r="I97">
            <v>0.66553216296289652</v>
          </cell>
        </row>
        <row r="98">
          <cell r="H98" t="str">
            <v>Royaume-Uni</v>
          </cell>
          <cell r="I98">
            <v>0.67161707779926927</v>
          </cell>
        </row>
        <row r="99">
          <cell r="H99" t="str">
            <v>Italie</v>
          </cell>
          <cell r="I99">
            <v>0.69105920320847236</v>
          </cell>
        </row>
        <row r="100">
          <cell r="H100" t="str">
            <v>Chypre</v>
          </cell>
          <cell r="I100">
            <v>0.69370820857852122</v>
          </cell>
        </row>
        <row r="101">
          <cell r="H101" t="str">
            <v>Lettonie</v>
          </cell>
          <cell r="I101">
            <v>0.74180209141287179</v>
          </cell>
        </row>
        <row r="102">
          <cell r="H102" t="str">
            <v>Belgique</v>
          </cell>
          <cell r="I102">
            <v>0.75670131999622081</v>
          </cell>
        </row>
        <row r="103">
          <cell r="H103" t="str">
            <v>Danemark</v>
          </cell>
          <cell r="I103">
            <v>0.95113541293175574</v>
          </cell>
        </row>
      </sheetData>
      <sheetData sheetId="1">
        <row r="39">
          <cell r="I39" t="str">
            <v>ratio 1</v>
          </cell>
        </row>
      </sheetData>
      <sheetData sheetId="2">
        <row r="37">
          <cell r="AB37">
            <v>130</v>
          </cell>
          <cell r="BO37">
            <v>49022</v>
          </cell>
          <cell r="BP37">
            <v>510</v>
          </cell>
          <cell r="BT37">
            <v>316461</v>
          </cell>
        </row>
      </sheetData>
      <sheetData sheetId="3">
        <row r="37">
          <cell r="AB37">
            <v>250.23</v>
          </cell>
          <cell r="BM37">
            <v>302908.89999999997</v>
          </cell>
          <cell r="BP37">
            <v>0</v>
          </cell>
          <cell r="BT37">
            <v>1438373.3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ers1"/>
      <sheetName val="Feuil3"/>
      <sheetName val="Feuil2"/>
      <sheetName val="recap ind campagne SD21 b14"/>
      <sheetName val="43Z SD21_5eTbis_1023"/>
    </sheetNames>
    <sheetDataSet>
      <sheetData sheetId="0"/>
      <sheetData sheetId="1"/>
      <sheetData sheetId="2"/>
      <sheetData sheetId="3">
        <row r="15">
          <cell r="F15">
            <v>116.47112902249421</v>
          </cell>
        </row>
        <row r="26">
          <cell r="G26">
            <v>104.68727940138361</v>
          </cell>
        </row>
        <row r="28">
          <cell r="G28">
            <v>104.38908659549229</v>
          </cell>
        </row>
        <row r="32">
          <cell r="G32">
            <v>102.86809815950923</v>
          </cell>
        </row>
        <row r="33">
          <cell r="G33">
            <v>103.81791483113072</v>
          </cell>
        </row>
        <row r="34">
          <cell r="G34">
            <v>102.29753453934818</v>
          </cell>
        </row>
        <row r="35">
          <cell r="G35">
            <v>102.24441378733722</v>
          </cell>
        </row>
        <row r="39">
          <cell r="G39">
            <v>104.39836632108074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5"/>
  <sheetViews>
    <sheetView zoomScale="75" zoomScaleNormal="75" workbookViewId="0">
      <selection activeCell="I25" sqref="I25"/>
    </sheetView>
  </sheetViews>
  <sheetFormatPr baseColWidth="10" defaultColWidth="10.7109375" defaultRowHeight="12.75" outlineLevelCol="1" x14ac:dyDescent="0.2"/>
  <cols>
    <col min="1" max="1" width="25.5703125" customWidth="1" outlineLevel="1"/>
    <col min="2" max="2" width="1.7109375" customWidth="1" outlineLevel="1"/>
    <col min="3" max="3" width="25.5703125" customWidth="1" outlineLevel="1"/>
    <col min="4" max="4" width="1.7109375" customWidth="1" outlineLevel="1"/>
    <col min="5" max="5" width="25.5703125" customWidth="1" outlineLevel="1"/>
  </cols>
  <sheetData>
    <row r="1" spans="1:41" ht="15" customHeight="1" x14ac:dyDescent="0.25">
      <c r="A1" s="997" t="s">
        <v>0</v>
      </c>
      <c r="B1" s="997"/>
      <c r="C1" s="997"/>
      <c r="D1" s="997"/>
      <c r="E1" s="997"/>
    </row>
    <row r="2" spans="1:41" ht="12.75" customHeight="1" x14ac:dyDescent="0.2">
      <c r="A2" s="998"/>
      <c r="B2" s="998"/>
      <c r="C2" s="998"/>
      <c r="D2" s="998"/>
      <c r="E2" s="998"/>
    </row>
    <row r="3" spans="1:41" ht="24.75" customHeight="1" x14ac:dyDescent="0.25">
      <c r="A3" s="999" t="s">
        <v>1</v>
      </c>
      <c r="B3" s="999"/>
      <c r="C3" s="999"/>
      <c r="D3" s="999"/>
      <c r="E3" s="999"/>
    </row>
    <row r="4" spans="1:41" ht="49.5" customHeight="1" x14ac:dyDescent="0.2">
      <c r="A4" s="1" t="s">
        <v>2</v>
      </c>
      <c r="B4" s="2"/>
      <c r="C4" s="3" t="s">
        <v>3</v>
      </c>
      <c r="D4" s="4"/>
      <c r="E4" s="3" t="s">
        <v>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6" customHeight="1" x14ac:dyDescent="0.2">
      <c r="A5" s="6"/>
      <c r="B5" s="6"/>
      <c r="C5" s="7"/>
      <c r="D5" s="8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49.5" customHeight="1" x14ac:dyDescent="0.2">
      <c r="A6" s="9"/>
      <c r="B6" s="9"/>
      <c r="C6" s="3" t="s">
        <v>5</v>
      </c>
      <c r="D6" s="10"/>
      <c r="E6" s="1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6" customHeight="1" x14ac:dyDescent="0.2">
      <c r="A7" s="12"/>
      <c r="B7" s="12"/>
      <c r="C7" s="7"/>
      <c r="D7" s="8"/>
      <c r="E7" s="13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49.5" customHeight="1" x14ac:dyDescent="0.2">
      <c r="A8" s="9"/>
      <c r="B8" s="9"/>
      <c r="C8" s="3" t="s">
        <v>6</v>
      </c>
      <c r="D8" s="10"/>
      <c r="E8" s="1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13.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ht="12.75" customHeight="1" x14ac:dyDescent="0.2">
      <c r="A10" s="14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12.75" customHeight="1" x14ac:dyDescent="0.2">
      <c r="A12" s="15" t="s">
        <v>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12.75" customHeight="1" x14ac:dyDescent="0.2">
      <c r="A13" s="16" t="s">
        <v>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12.75" customHeight="1" x14ac:dyDescent="0.2">
      <c r="A14" s="16" t="s">
        <v>10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3:4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3:4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3:41" x14ac:dyDescent="0.2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3:41" x14ac:dyDescent="0.2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3:41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3:41" x14ac:dyDescent="0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3:4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3:4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3:41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3:41" x14ac:dyDescent="0.2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3:4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3:41" x14ac:dyDescent="0.2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3:41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3:4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3:4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3:4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3:41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3:41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3:41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3:41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3:4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3:4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3:4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3:4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3:4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3:4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3:4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3:4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3:4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</sheetData>
  <mergeCells count="3">
    <mergeCell ref="A1:E1"/>
    <mergeCell ref="A2:E2"/>
    <mergeCell ref="A3:E3"/>
  </mergeCells>
  <hyperlinks>
    <hyperlink ref="A4" location="TRP!A1" display="Tableau des ressources en produits" xr:uid="{00000000-0004-0000-0000-000000000000}"/>
    <hyperlink ref="C4" location="TEI!A1" display="Tableau des entrées intermédiaires" xr:uid="{00000000-0004-0000-0000-000001000000}"/>
    <hyperlink ref="E4" location="TEF!A1" display="Tableau des emplois finals" xr:uid="{00000000-0004-0000-0000-000002000000}"/>
    <hyperlink ref="C6" location="CPR_CEB!A1" display="Compte de production par branche" xr:uid="{00000000-0004-0000-0000-000003000000}"/>
    <hyperlink ref="C8" location="CPR_CEB!A17" display="Compte d'exploitation par branche" xr:uid="{00000000-0004-0000-0000-000004000000}"/>
  </hyperlinks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C0CE-953E-4E9B-B1F4-F4316660D5B7}">
  <dimension ref="A1:AI186"/>
  <sheetViews>
    <sheetView workbookViewId="0">
      <selection activeCell="J43" sqref="J43"/>
    </sheetView>
  </sheetViews>
  <sheetFormatPr baseColWidth="10" defaultColWidth="11.85546875" defaultRowHeight="12" x14ac:dyDescent="0.2"/>
  <cols>
    <col min="1" max="1" width="34.7109375" style="305" customWidth="1"/>
    <col min="2" max="2" width="10" style="305" customWidth="1"/>
    <col min="3" max="3" width="8.7109375" style="305" customWidth="1"/>
    <col min="4" max="4" width="7.7109375" style="305" customWidth="1"/>
    <col min="5" max="5" width="8.7109375" style="305" customWidth="1"/>
    <col min="6" max="6" width="9.140625" style="305" customWidth="1"/>
    <col min="7" max="7" width="10" style="305" customWidth="1"/>
    <col min="8" max="9" width="10.28515625" style="305" customWidth="1"/>
    <col min="10" max="10" width="11" style="305" customWidth="1"/>
    <col min="11" max="11" width="11.7109375" style="305" customWidth="1"/>
    <col min="12" max="12" width="10.28515625" style="305" customWidth="1"/>
    <col min="13" max="13" width="7.7109375" style="305" customWidth="1"/>
    <col min="14" max="14" width="22.7109375" style="305" customWidth="1"/>
    <col min="15" max="15" width="9.28515625" style="305" customWidth="1"/>
    <col min="16" max="16" width="10.7109375" style="305" customWidth="1"/>
    <col min="17" max="17" width="8.7109375" style="305" customWidth="1"/>
    <col min="18" max="18" width="8" style="305" customWidth="1"/>
    <col min="19" max="19" width="8.7109375" style="305" customWidth="1"/>
    <col min="20" max="20" width="10.5703125" style="305" customWidth="1"/>
    <col min="21" max="21" width="10.140625" style="305" customWidth="1"/>
    <col min="22" max="22" width="10.28515625" style="305" customWidth="1"/>
    <col min="23" max="23" width="10.85546875" style="305" customWidth="1"/>
    <col min="24" max="24" width="10.28515625" style="305" customWidth="1"/>
    <col min="25" max="25" width="13.28515625" style="305" customWidth="1"/>
    <col min="26" max="26" width="9.7109375" style="305" customWidth="1"/>
    <col min="27" max="27" width="9.5703125" style="305" customWidth="1"/>
    <col min="28" max="28" width="8.42578125" style="305" customWidth="1"/>
    <col min="29" max="29" width="10" style="305" customWidth="1"/>
    <col min="30" max="31" width="10.85546875" style="305" customWidth="1"/>
    <col min="32" max="32" width="11.5703125" style="305" customWidth="1"/>
    <col min="33" max="39" width="10.85546875" style="305" customWidth="1"/>
    <col min="40" max="256" width="11.85546875" style="305"/>
    <col min="257" max="257" width="34.7109375" style="305" customWidth="1"/>
    <col min="258" max="258" width="10" style="305" customWidth="1"/>
    <col min="259" max="259" width="8.7109375" style="305" customWidth="1"/>
    <col min="260" max="260" width="7.7109375" style="305" customWidth="1"/>
    <col min="261" max="261" width="8.7109375" style="305" customWidth="1"/>
    <col min="262" max="262" width="9.140625" style="305" customWidth="1"/>
    <col min="263" max="263" width="10" style="305" customWidth="1"/>
    <col min="264" max="265" width="10.28515625" style="305" customWidth="1"/>
    <col min="266" max="266" width="11" style="305" customWidth="1"/>
    <col min="267" max="267" width="11.7109375" style="305" customWidth="1"/>
    <col min="268" max="268" width="10.28515625" style="305" customWidth="1"/>
    <col min="269" max="269" width="7.7109375" style="305" customWidth="1"/>
    <col min="270" max="270" width="22.7109375" style="305" customWidth="1"/>
    <col min="271" max="271" width="9.28515625" style="305" customWidth="1"/>
    <col min="272" max="272" width="10.7109375" style="305" customWidth="1"/>
    <col min="273" max="273" width="8.7109375" style="305" customWidth="1"/>
    <col min="274" max="274" width="8" style="305" customWidth="1"/>
    <col min="275" max="275" width="8.7109375" style="305" customWidth="1"/>
    <col min="276" max="276" width="10.5703125" style="305" customWidth="1"/>
    <col min="277" max="277" width="10.140625" style="305" customWidth="1"/>
    <col min="278" max="278" width="10.28515625" style="305" customWidth="1"/>
    <col min="279" max="279" width="10.85546875" style="305" customWidth="1"/>
    <col min="280" max="280" width="10.28515625" style="305" customWidth="1"/>
    <col min="281" max="281" width="13.28515625" style="305" customWidth="1"/>
    <col min="282" max="282" width="9.7109375" style="305" customWidth="1"/>
    <col min="283" max="283" width="9.5703125" style="305" customWidth="1"/>
    <col min="284" max="284" width="8.42578125" style="305" customWidth="1"/>
    <col min="285" max="285" width="10" style="305" customWidth="1"/>
    <col min="286" max="287" width="10.85546875" style="305" customWidth="1"/>
    <col min="288" max="288" width="11.5703125" style="305" customWidth="1"/>
    <col min="289" max="295" width="10.85546875" style="305" customWidth="1"/>
    <col min="296" max="512" width="11.85546875" style="305"/>
    <col min="513" max="513" width="34.7109375" style="305" customWidth="1"/>
    <col min="514" max="514" width="10" style="305" customWidth="1"/>
    <col min="515" max="515" width="8.7109375" style="305" customWidth="1"/>
    <col min="516" max="516" width="7.7109375" style="305" customWidth="1"/>
    <col min="517" max="517" width="8.7109375" style="305" customWidth="1"/>
    <col min="518" max="518" width="9.140625" style="305" customWidth="1"/>
    <col min="519" max="519" width="10" style="305" customWidth="1"/>
    <col min="520" max="521" width="10.28515625" style="305" customWidth="1"/>
    <col min="522" max="522" width="11" style="305" customWidth="1"/>
    <col min="523" max="523" width="11.7109375" style="305" customWidth="1"/>
    <col min="524" max="524" width="10.28515625" style="305" customWidth="1"/>
    <col min="525" max="525" width="7.7109375" style="305" customWidth="1"/>
    <col min="526" max="526" width="22.7109375" style="305" customWidth="1"/>
    <col min="527" max="527" width="9.28515625" style="305" customWidth="1"/>
    <col min="528" max="528" width="10.7109375" style="305" customWidth="1"/>
    <col min="529" max="529" width="8.7109375" style="305" customWidth="1"/>
    <col min="530" max="530" width="8" style="305" customWidth="1"/>
    <col min="531" max="531" width="8.7109375" style="305" customWidth="1"/>
    <col min="532" max="532" width="10.5703125" style="305" customWidth="1"/>
    <col min="533" max="533" width="10.140625" style="305" customWidth="1"/>
    <col min="534" max="534" width="10.28515625" style="305" customWidth="1"/>
    <col min="535" max="535" width="10.85546875" style="305" customWidth="1"/>
    <col min="536" max="536" width="10.28515625" style="305" customWidth="1"/>
    <col min="537" max="537" width="13.28515625" style="305" customWidth="1"/>
    <col min="538" max="538" width="9.7109375" style="305" customWidth="1"/>
    <col min="539" max="539" width="9.5703125" style="305" customWidth="1"/>
    <col min="540" max="540" width="8.42578125" style="305" customWidth="1"/>
    <col min="541" max="541" width="10" style="305" customWidth="1"/>
    <col min="542" max="543" width="10.85546875" style="305" customWidth="1"/>
    <col min="544" max="544" width="11.5703125" style="305" customWidth="1"/>
    <col min="545" max="551" width="10.85546875" style="305" customWidth="1"/>
    <col min="552" max="768" width="11.85546875" style="305"/>
    <col min="769" max="769" width="34.7109375" style="305" customWidth="1"/>
    <col min="770" max="770" width="10" style="305" customWidth="1"/>
    <col min="771" max="771" width="8.7109375" style="305" customWidth="1"/>
    <col min="772" max="772" width="7.7109375" style="305" customWidth="1"/>
    <col min="773" max="773" width="8.7109375" style="305" customWidth="1"/>
    <col min="774" max="774" width="9.140625" style="305" customWidth="1"/>
    <col min="775" max="775" width="10" style="305" customWidth="1"/>
    <col min="776" max="777" width="10.28515625" style="305" customWidth="1"/>
    <col min="778" max="778" width="11" style="305" customWidth="1"/>
    <col min="779" max="779" width="11.7109375" style="305" customWidth="1"/>
    <col min="780" max="780" width="10.28515625" style="305" customWidth="1"/>
    <col min="781" max="781" width="7.7109375" style="305" customWidth="1"/>
    <col min="782" max="782" width="22.7109375" style="305" customWidth="1"/>
    <col min="783" max="783" width="9.28515625" style="305" customWidth="1"/>
    <col min="784" max="784" width="10.7109375" style="305" customWidth="1"/>
    <col min="785" max="785" width="8.7109375" style="305" customWidth="1"/>
    <col min="786" max="786" width="8" style="305" customWidth="1"/>
    <col min="787" max="787" width="8.7109375" style="305" customWidth="1"/>
    <col min="788" max="788" width="10.5703125" style="305" customWidth="1"/>
    <col min="789" max="789" width="10.140625" style="305" customWidth="1"/>
    <col min="790" max="790" width="10.28515625" style="305" customWidth="1"/>
    <col min="791" max="791" width="10.85546875" style="305" customWidth="1"/>
    <col min="792" max="792" width="10.28515625" style="305" customWidth="1"/>
    <col min="793" max="793" width="13.28515625" style="305" customWidth="1"/>
    <col min="794" max="794" width="9.7109375" style="305" customWidth="1"/>
    <col min="795" max="795" width="9.5703125" style="305" customWidth="1"/>
    <col min="796" max="796" width="8.42578125" style="305" customWidth="1"/>
    <col min="797" max="797" width="10" style="305" customWidth="1"/>
    <col min="798" max="799" width="10.85546875" style="305" customWidth="1"/>
    <col min="800" max="800" width="11.5703125" style="305" customWidth="1"/>
    <col min="801" max="807" width="10.85546875" style="305" customWidth="1"/>
    <col min="808" max="1024" width="11.85546875" style="305"/>
    <col min="1025" max="1025" width="34.7109375" style="305" customWidth="1"/>
    <col min="1026" max="1026" width="10" style="305" customWidth="1"/>
    <col min="1027" max="1027" width="8.7109375" style="305" customWidth="1"/>
    <col min="1028" max="1028" width="7.7109375" style="305" customWidth="1"/>
    <col min="1029" max="1029" width="8.7109375" style="305" customWidth="1"/>
    <col min="1030" max="1030" width="9.140625" style="305" customWidth="1"/>
    <col min="1031" max="1031" width="10" style="305" customWidth="1"/>
    <col min="1032" max="1033" width="10.28515625" style="305" customWidth="1"/>
    <col min="1034" max="1034" width="11" style="305" customWidth="1"/>
    <col min="1035" max="1035" width="11.7109375" style="305" customWidth="1"/>
    <col min="1036" max="1036" width="10.28515625" style="305" customWidth="1"/>
    <col min="1037" max="1037" width="7.7109375" style="305" customWidth="1"/>
    <col min="1038" max="1038" width="22.7109375" style="305" customWidth="1"/>
    <col min="1039" max="1039" width="9.28515625" style="305" customWidth="1"/>
    <col min="1040" max="1040" width="10.7109375" style="305" customWidth="1"/>
    <col min="1041" max="1041" width="8.7109375" style="305" customWidth="1"/>
    <col min="1042" max="1042" width="8" style="305" customWidth="1"/>
    <col min="1043" max="1043" width="8.7109375" style="305" customWidth="1"/>
    <col min="1044" max="1044" width="10.5703125" style="305" customWidth="1"/>
    <col min="1045" max="1045" width="10.140625" style="305" customWidth="1"/>
    <col min="1046" max="1046" width="10.28515625" style="305" customWidth="1"/>
    <col min="1047" max="1047" width="10.85546875" style="305" customWidth="1"/>
    <col min="1048" max="1048" width="10.28515625" style="305" customWidth="1"/>
    <col min="1049" max="1049" width="13.28515625" style="305" customWidth="1"/>
    <col min="1050" max="1050" width="9.7109375" style="305" customWidth="1"/>
    <col min="1051" max="1051" width="9.5703125" style="305" customWidth="1"/>
    <col min="1052" max="1052" width="8.42578125" style="305" customWidth="1"/>
    <col min="1053" max="1053" width="10" style="305" customWidth="1"/>
    <col min="1054" max="1055" width="10.85546875" style="305" customWidth="1"/>
    <col min="1056" max="1056" width="11.5703125" style="305" customWidth="1"/>
    <col min="1057" max="1063" width="10.85546875" style="305" customWidth="1"/>
    <col min="1064" max="1280" width="11.85546875" style="305"/>
    <col min="1281" max="1281" width="34.7109375" style="305" customWidth="1"/>
    <col min="1282" max="1282" width="10" style="305" customWidth="1"/>
    <col min="1283" max="1283" width="8.7109375" style="305" customWidth="1"/>
    <col min="1284" max="1284" width="7.7109375" style="305" customWidth="1"/>
    <col min="1285" max="1285" width="8.7109375" style="305" customWidth="1"/>
    <col min="1286" max="1286" width="9.140625" style="305" customWidth="1"/>
    <col min="1287" max="1287" width="10" style="305" customWidth="1"/>
    <col min="1288" max="1289" width="10.28515625" style="305" customWidth="1"/>
    <col min="1290" max="1290" width="11" style="305" customWidth="1"/>
    <col min="1291" max="1291" width="11.7109375" style="305" customWidth="1"/>
    <col min="1292" max="1292" width="10.28515625" style="305" customWidth="1"/>
    <col min="1293" max="1293" width="7.7109375" style="305" customWidth="1"/>
    <col min="1294" max="1294" width="22.7109375" style="305" customWidth="1"/>
    <col min="1295" max="1295" width="9.28515625" style="305" customWidth="1"/>
    <col min="1296" max="1296" width="10.7109375" style="305" customWidth="1"/>
    <col min="1297" max="1297" width="8.7109375" style="305" customWidth="1"/>
    <col min="1298" max="1298" width="8" style="305" customWidth="1"/>
    <col min="1299" max="1299" width="8.7109375" style="305" customWidth="1"/>
    <col min="1300" max="1300" width="10.5703125" style="305" customWidth="1"/>
    <col min="1301" max="1301" width="10.140625" style="305" customWidth="1"/>
    <col min="1302" max="1302" width="10.28515625" style="305" customWidth="1"/>
    <col min="1303" max="1303" width="10.85546875" style="305" customWidth="1"/>
    <col min="1304" max="1304" width="10.28515625" style="305" customWidth="1"/>
    <col min="1305" max="1305" width="13.28515625" style="305" customWidth="1"/>
    <col min="1306" max="1306" width="9.7109375" style="305" customWidth="1"/>
    <col min="1307" max="1307" width="9.5703125" style="305" customWidth="1"/>
    <col min="1308" max="1308" width="8.42578125" style="305" customWidth="1"/>
    <col min="1309" max="1309" width="10" style="305" customWidth="1"/>
    <col min="1310" max="1311" width="10.85546875" style="305" customWidth="1"/>
    <col min="1312" max="1312" width="11.5703125" style="305" customWidth="1"/>
    <col min="1313" max="1319" width="10.85546875" style="305" customWidth="1"/>
    <col min="1320" max="1536" width="11.85546875" style="305"/>
    <col min="1537" max="1537" width="34.7109375" style="305" customWidth="1"/>
    <col min="1538" max="1538" width="10" style="305" customWidth="1"/>
    <col min="1539" max="1539" width="8.7109375" style="305" customWidth="1"/>
    <col min="1540" max="1540" width="7.7109375" style="305" customWidth="1"/>
    <col min="1541" max="1541" width="8.7109375" style="305" customWidth="1"/>
    <col min="1542" max="1542" width="9.140625" style="305" customWidth="1"/>
    <col min="1543" max="1543" width="10" style="305" customWidth="1"/>
    <col min="1544" max="1545" width="10.28515625" style="305" customWidth="1"/>
    <col min="1546" max="1546" width="11" style="305" customWidth="1"/>
    <col min="1547" max="1547" width="11.7109375" style="305" customWidth="1"/>
    <col min="1548" max="1548" width="10.28515625" style="305" customWidth="1"/>
    <col min="1549" max="1549" width="7.7109375" style="305" customWidth="1"/>
    <col min="1550" max="1550" width="22.7109375" style="305" customWidth="1"/>
    <col min="1551" max="1551" width="9.28515625" style="305" customWidth="1"/>
    <col min="1552" max="1552" width="10.7109375" style="305" customWidth="1"/>
    <col min="1553" max="1553" width="8.7109375" style="305" customWidth="1"/>
    <col min="1554" max="1554" width="8" style="305" customWidth="1"/>
    <col min="1555" max="1555" width="8.7109375" style="305" customWidth="1"/>
    <col min="1556" max="1556" width="10.5703125" style="305" customWidth="1"/>
    <col min="1557" max="1557" width="10.140625" style="305" customWidth="1"/>
    <col min="1558" max="1558" width="10.28515625" style="305" customWidth="1"/>
    <col min="1559" max="1559" width="10.85546875" style="305" customWidth="1"/>
    <col min="1560" max="1560" width="10.28515625" style="305" customWidth="1"/>
    <col min="1561" max="1561" width="13.28515625" style="305" customWidth="1"/>
    <col min="1562" max="1562" width="9.7109375" style="305" customWidth="1"/>
    <col min="1563" max="1563" width="9.5703125" style="305" customWidth="1"/>
    <col min="1564" max="1564" width="8.42578125" style="305" customWidth="1"/>
    <col min="1565" max="1565" width="10" style="305" customWidth="1"/>
    <col min="1566" max="1567" width="10.85546875" style="305" customWidth="1"/>
    <col min="1568" max="1568" width="11.5703125" style="305" customWidth="1"/>
    <col min="1569" max="1575" width="10.85546875" style="305" customWidth="1"/>
    <col min="1576" max="1792" width="11.85546875" style="305"/>
    <col min="1793" max="1793" width="34.7109375" style="305" customWidth="1"/>
    <col min="1794" max="1794" width="10" style="305" customWidth="1"/>
    <col min="1795" max="1795" width="8.7109375" style="305" customWidth="1"/>
    <col min="1796" max="1796" width="7.7109375" style="305" customWidth="1"/>
    <col min="1797" max="1797" width="8.7109375" style="305" customWidth="1"/>
    <col min="1798" max="1798" width="9.140625" style="305" customWidth="1"/>
    <col min="1799" max="1799" width="10" style="305" customWidth="1"/>
    <col min="1800" max="1801" width="10.28515625" style="305" customWidth="1"/>
    <col min="1802" max="1802" width="11" style="305" customWidth="1"/>
    <col min="1803" max="1803" width="11.7109375" style="305" customWidth="1"/>
    <col min="1804" max="1804" width="10.28515625" style="305" customWidth="1"/>
    <col min="1805" max="1805" width="7.7109375" style="305" customWidth="1"/>
    <col min="1806" max="1806" width="22.7109375" style="305" customWidth="1"/>
    <col min="1807" max="1807" width="9.28515625" style="305" customWidth="1"/>
    <col min="1808" max="1808" width="10.7109375" style="305" customWidth="1"/>
    <col min="1809" max="1809" width="8.7109375" style="305" customWidth="1"/>
    <col min="1810" max="1810" width="8" style="305" customWidth="1"/>
    <col min="1811" max="1811" width="8.7109375" style="305" customWidth="1"/>
    <col min="1812" max="1812" width="10.5703125" style="305" customWidth="1"/>
    <col min="1813" max="1813" width="10.140625" style="305" customWidth="1"/>
    <col min="1814" max="1814" width="10.28515625" style="305" customWidth="1"/>
    <col min="1815" max="1815" width="10.85546875" style="305" customWidth="1"/>
    <col min="1816" max="1816" width="10.28515625" style="305" customWidth="1"/>
    <col min="1817" max="1817" width="13.28515625" style="305" customWidth="1"/>
    <col min="1818" max="1818" width="9.7109375" style="305" customWidth="1"/>
    <col min="1819" max="1819" width="9.5703125" style="305" customWidth="1"/>
    <col min="1820" max="1820" width="8.42578125" style="305" customWidth="1"/>
    <col min="1821" max="1821" width="10" style="305" customWidth="1"/>
    <col min="1822" max="1823" width="10.85546875" style="305" customWidth="1"/>
    <col min="1824" max="1824" width="11.5703125" style="305" customWidth="1"/>
    <col min="1825" max="1831" width="10.85546875" style="305" customWidth="1"/>
    <col min="1832" max="2048" width="11.85546875" style="305"/>
    <col min="2049" max="2049" width="34.7109375" style="305" customWidth="1"/>
    <col min="2050" max="2050" width="10" style="305" customWidth="1"/>
    <col min="2051" max="2051" width="8.7109375" style="305" customWidth="1"/>
    <col min="2052" max="2052" width="7.7109375" style="305" customWidth="1"/>
    <col min="2053" max="2053" width="8.7109375" style="305" customWidth="1"/>
    <col min="2054" max="2054" width="9.140625" style="305" customWidth="1"/>
    <col min="2055" max="2055" width="10" style="305" customWidth="1"/>
    <col min="2056" max="2057" width="10.28515625" style="305" customWidth="1"/>
    <col min="2058" max="2058" width="11" style="305" customWidth="1"/>
    <col min="2059" max="2059" width="11.7109375" style="305" customWidth="1"/>
    <col min="2060" max="2060" width="10.28515625" style="305" customWidth="1"/>
    <col min="2061" max="2061" width="7.7109375" style="305" customWidth="1"/>
    <col min="2062" max="2062" width="22.7109375" style="305" customWidth="1"/>
    <col min="2063" max="2063" width="9.28515625" style="305" customWidth="1"/>
    <col min="2064" max="2064" width="10.7109375" style="305" customWidth="1"/>
    <col min="2065" max="2065" width="8.7109375" style="305" customWidth="1"/>
    <col min="2066" max="2066" width="8" style="305" customWidth="1"/>
    <col min="2067" max="2067" width="8.7109375" style="305" customWidth="1"/>
    <col min="2068" max="2068" width="10.5703125" style="305" customWidth="1"/>
    <col min="2069" max="2069" width="10.140625" style="305" customWidth="1"/>
    <col min="2070" max="2070" width="10.28515625" style="305" customWidth="1"/>
    <col min="2071" max="2071" width="10.85546875" style="305" customWidth="1"/>
    <col min="2072" max="2072" width="10.28515625" style="305" customWidth="1"/>
    <col min="2073" max="2073" width="13.28515625" style="305" customWidth="1"/>
    <col min="2074" max="2074" width="9.7109375" style="305" customWidth="1"/>
    <col min="2075" max="2075" width="9.5703125" style="305" customWidth="1"/>
    <col min="2076" max="2076" width="8.42578125" style="305" customWidth="1"/>
    <col min="2077" max="2077" width="10" style="305" customWidth="1"/>
    <col min="2078" max="2079" width="10.85546875" style="305" customWidth="1"/>
    <col min="2080" max="2080" width="11.5703125" style="305" customWidth="1"/>
    <col min="2081" max="2087" width="10.85546875" style="305" customWidth="1"/>
    <col min="2088" max="2304" width="11.85546875" style="305"/>
    <col min="2305" max="2305" width="34.7109375" style="305" customWidth="1"/>
    <col min="2306" max="2306" width="10" style="305" customWidth="1"/>
    <col min="2307" max="2307" width="8.7109375" style="305" customWidth="1"/>
    <col min="2308" max="2308" width="7.7109375" style="305" customWidth="1"/>
    <col min="2309" max="2309" width="8.7109375" style="305" customWidth="1"/>
    <col min="2310" max="2310" width="9.140625" style="305" customWidth="1"/>
    <col min="2311" max="2311" width="10" style="305" customWidth="1"/>
    <col min="2312" max="2313" width="10.28515625" style="305" customWidth="1"/>
    <col min="2314" max="2314" width="11" style="305" customWidth="1"/>
    <col min="2315" max="2315" width="11.7109375" style="305" customWidth="1"/>
    <col min="2316" max="2316" width="10.28515625" style="305" customWidth="1"/>
    <col min="2317" max="2317" width="7.7109375" style="305" customWidth="1"/>
    <col min="2318" max="2318" width="22.7109375" style="305" customWidth="1"/>
    <col min="2319" max="2319" width="9.28515625" style="305" customWidth="1"/>
    <col min="2320" max="2320" width="10.7109375" style="305" customWidth="1"/>
    <col min="2321" max="2321" width="8.7109375" style="305" customWidth="1"/>
    <col min="2322" max="2322" width="8" style="305" customWidth="1"/>
    <col min="2323" max="2323" width="8.7109375" style="305" customWidth="1"/>
    <col min="2324" max="2324" width="10.5703125" style="305" customWidth="1"/>
    <col min="2325" max="2325" width="10.140625" style="305" customWidth="1"/>
    <col min="2326" max="2326" width="10.28515625" style="305" customWidth="1"/>
    <col min="2327" max="2327" width="10.85546875" style="305" customWidth="1"/>
    <col min="2328" max="2328" width="10.28515625" style="305" customWidth="1"/>
    <col min="2329" max="2329" width="13.28515625" style="305" customWidth="1"/>
    <col min="2330" max="2330" width="9.7109375" style="305" customWidth="1"/>
    <col min="2331" max="2331" width="9.5703125" style="305" customWidth="1"/>
    <col min="2332" max="2332" width="8.42578125" style="305" customWidth="1"/>
    <col min="2333" max="2333" width="10" style="305" customWidth="1"/>
    <col min="2334" max="2335" width="10.85546875" style="305" customWidth="1"/>
    <col min="2336" max="2336" width="11.5703125" style="305" customWidth="1"/>
    <col min="2337" max="2343" width="10.85546875" style="305" customWidth="1"/>
    <col min="2344" max="2560" width="11.85546875" style="305"/>
    <col min="2561" max="2561" width="34.7109375" style="305" customWidth="1"/>
    <col min="2562" max="2562" width="10" style="305" customWidth="1"/>
    <col min="2563" max="2563" width="8.7109375" style="305" customWidth="1"/>
    <col min="2564" max="2564" width="7.7109375" style="305" customWidth="1"/>
    <col min="2565" max="2565" width="8.7109375" style="305" customWidth="1"/>
    <col min="2566" max="2566" width="9.140625" style="305" customWidth="1"/>
    <col min="2567" max="2567" width="10" style="305" customWidth="1"/>
    <col min="2568" max="2569" width="10.28515625" style="305" customWidth="1"/>
    <col min="2570" max="2570" width="11" style="305" customWidth="1"/>
    <col min="2571" max="2571" width="11.7109375" style="305" customWidth="1"/>
    <col min="2572" max="2572" width="10.28515625" style="305" customWidth="1"/>
    <col min="2573" max="2573" width="7.7109375" style="305" customWidth="1"/>
    <col min="2574" max="2574" width="22.7109375" style="305" customWidth="1"/>
    <col min="2575" max="2575" width="9.28515625" style="305" customWidth="1"/>
    <col min="2576" max="2576" width="10.7109375" style="305" customWidth="1"/>
    <col min="2577" max="2577" width="8.7109375" style="305" customWidth="1"/>
    <col min="2578" max="2578" width="8" style="305" customWidth="1"/>
    <col min="2579" max="2579" width="8.7109375" style="305" customWidth="1"/>
    <col min="2580" max="2580" width="10.5703125" style="305" customWidth="1"/>
    <col min="2581" max="2581" width="10.140625" style="305" customWidth="1"/>
    <col min="2582" max="2582" width="10.28515625" style="305" customWidth="1"/>
    <col min="2583" max="2583" width="10.85546875" style="305" customWidth="1"/>
    <col min="2584" max="2584" width="10.28515625" style="305" customWidth="1"/>
    <col min="2585" max="2585" width="13.28515625" style="305" customWidth="1"/>
    <col min="2586" max="2586" width="9.7109375" style="305" customWidth="1"/>
    <col min="2587" max="2587" width="9.5703125" style="305" customWidth="1"/>
    <col min="2588" max="2588" width="8.42578125" style="305" customWidth="1"/>
    <col min="2589" max="2589" width="10" style="305" customWidth="1"/>
    <col min="2590" max="2591" width="10.85546875" style="305" customWidth="1"/>
    <col min="2592" max="2592" width="11.5703125" style="305" customWidth="1"/>
    <col min="2593" max="2599" width="10.85546875" style="305" customWidth="1"/>
    <col min="2600" max="2816" width="11.85546875" style="305"/>
    <col min="2817" max="2817" width="34.7109375" style="305" customWidth="1"/>
    <col min="2818" max="2818" width="10" style="305" customWidth="1"/>
    <col min="2819" max="2819" width="8.7109375" style="305" customWidth="1"/>
    <col min="2820" max="2820" width="7.7109375" style="305" customWidth="1"/>
    <col min="2821" max="2821" width="8.7109375" style="305" customWidth="1"/>
    <col min="2822" max="2822" width="9.140625" style="305" customWidth="1"/>
    <col min="2823" max="2823" width="10" style="305" customWidth="1"/>
    <col min="2824" max="2825" width="10.28515625" style="305" customWidth="1"/>
    <col min="2826" max="2826" width="11" style="305" customWidth="1"/>
    <col min="2827" max="2827" width="11.7109375" style="305" customWidth="1"/>
    <col min="2828" max="2828" width="10.28515625" style="305" customWidth="1"/>
    <col min="2829" max="2829" width="7.7109375" style="305" customWidth="1"/>
    <col min="2830" max="2830" width="22.7109375" style="305" customWidth="1"/>
    <col min="2831" max="2831" width="9.28515625" style="305" customWidth="1"/>
    <col min="2832" max="2832" width="10.7109375" style="305" customWidth="1"/>
    <col min="2833" max="2833" width="8.7109375" style="305" customWidth="1"/>
    <col min="2834" max="2834" width="8" style="305" customWidth="1"/>
    <col min="2835" max="2835" width="8.7109375" style="305" customWidth="1"/>
    <col min="2836" max="2836" width="10.5703125" style="305" customWidth="1"/>
    <col min="2837" max="2837" width="10.140625" style="305" customWidth="1"/>
    <col min="2838" max="2838" width="10.28515625" style="305" customWidth="1"/>
    <col min="2839" max="2839" width="10.85546875" style="305" customWidth="1"/>
    <col min="2840" max="2840" width="10.28515625" style="305" customWidth="1"/>
    <col min="2841" max="2841" width="13.28515625" style="305" customWidth="1"/>
    <col min="2842" max="2842" width="9.7109375" style="305" customWidth="1"/>
    <col min="2843" max="2843" width="9.5703125" style="305" customWidth="1"/>
    <col min="2844" max="2844" width="8.42578125" style="305" customWidth="1"/>
    <col min="2845" max="2845" width="10" style="305" customWidth="1"/>
    <col min="2846" max="2847" width="10.85546875" style="305" customWidth="1"/>
    <col min="2848" max="2848" width="11.5703125" style="305" customWidth="1"/>
    <col min="2849" max="2855" width="10.85546875" style="305" customWidth="1"/>
    <col min="2856" max="3072" width="11.85546875" style="305"/>
    <col min="3073" max="3073" width="34.7109375" style="305" customWidth="1"/>
    <col min="3074" max="3074" width="10" style="305" customWidth="1"/>
    <col min="3075" max="3075" width="8.7109375" style="305" customWidth="1"/>
    <col min="3076" max="3076" width="7.7109375" style="305" customWidth="1"/>
    <col min="3077" max="3077" width="8.7109375" style="305" customWidth="1"/>
    <col min="3078" max="3078" width="9.140625" style="305" customWidth="1"/>
    <col min="3079" max="3079" width="10" style="305" customWidth="1"/>
    <col min="3080" max="3081" width="10.28515625" style="305" customWidth="1"/>
    <col min="3082" max="3082" width="11" style="305" customWidth="1"/>
    <col min="3083" max="3083" width="11.7109375" style="305" customWidth="1"/>
    <col min="3084" max="3084" width="10.28515625" style="305" customWidth="1"/>
    <col min="3085" max="3085" width="7.7109375" style="305" customWidth="1"/>
    <col min="3086" max="3086" width="22.7109375" style="305" customWidth="1"/>
    <col min="3087" max="3087" width="9.28515625" style="305" customWidth="1"/>
    <col min="3088" max="3088" width="10.7109375" style="305" customWidth="1"/>
    <col min="3089" max="3089" width="8.7109375" style="305" customWidth="1"/>
    <col min="3090" max="3090" width="8" style="305" customWidth="1"/>
    <col min="3091" max="3091" width="8.7109375" style="305" customWidth="1"/>
    <col min="3092" max="3092" width="10.5703125" style="305" customWidth="1"/>
    <col min="3093" max="3093" width="10.140625" style="305" customWidth="1"/>
    <col min="3094" max="3094" width="10.28515625" style="305" customWidth="1"/>
    <col min="3095" max="3095" width="10.85546875" style="305" customWidth="1"/>
    <col min="3096" max="3096" width="10.28515625" style="305" customWidth="1"/>
    <col min="3097" max="3097" width="13.28515625" style="305" customWidth="1"/>
    <col min="3098" max="3098" width="9.7109375" style="305" customWidth="1"/>
    <col min="3099" max="3099" width="9.5703125" style="305" customWidth="1"/>
    <col min="3100" max="3100" width="8.42578125" style="305" customWidth="1"/>
    <col min="3101" max="3101" width="10" style="305" customWidth="1"/>
    <col min="3102" max="3103" width="10.85546875" style="305" customWidth="1"/>
    <col min="3104" max="3104" width="11.5703125" style="305" customWidth="1"/>
    <col min="3105" max="3111" width="10.85546875" style="305" customWidth="1"/>
    <col min="3112" max="3328" width="11.85546875" style="305"/>
    <col min="3329" max="3329" width="34.7109375" style="305" customWidth="1"/>
    <col min="3330" max="3330" width="10" style="305" customWidth="1"/>
    <col min="3331" max="3331" width="8.7109375" style="305" customWidth="1"/>
    <col min="3332" max="3332" width="7.7109375" style="305" customWidth="1"/>
    <col min="3333" max="3333" width="8.7109375" style="305" customWidth="1"/>
    <col min="3334" max="3334" width="9.140625" style="305" customWidth="1"/>
    <col min="3335" max="3335" width="10" style="305" customWidth="1"/>
    <col min="3336" max="3337" width="10.28515625" style="305" customWidth="1"/>
    <col min="3338" max="3338" width="11" style="305" customWidth="1"/>
    <col min="3339" max="3339" width="11.7109375" style="305" customWidth="1"/>
    <col min="3340" max="3340" width="10.28515625" style="305" customWidth="1"/>
    <col min="3341" max="3341" width="7.7109375" style="305" customWidth="1"/>
    <col min="3342" max="3342" width="22.7109375" style="305" customWidth="1"/>
    <col min="3343" max="3343" width="9.28515625" style="305" customWidth="1"/>
    <col min="3344" max="3344" width="10.7109375" style="305" customWidth="1"/>
    <col min="3345" max="3345" width="8.7109375" style="305" customWidth="1"/>
    <col min="3346" max="3346" width="8" style="305" customWidth="1"/>
    <col min="3347" max="3347" width="8.7109375" style="305" customWidth="1"/>
    <col min="3348" max="3348" width="10.5703125" style="305" customWidth="1"/>
    <col min="3349" max="3349" width="10.140625" style="305" customWidth="1"/>
    <col min="3350" max="3350" width="10.28515625" style="305" customWidth="1"/>
    <col min="3351" max="3351" width="10.85546875" style="305" customWidth="1"/>
    <col min="3352" max="3352" width="10.28515625" style="305" customWidth="1"/>
    <col min="3353" max="3353" width="13.28515625" style="305" customWidth="1"/>
    <col min="3354" max="3354" width="9.7109375" style="305" customWidth="1"/>
    <col min="3355" max="3355" width="9.5703125" style="305" customWidth="1"/>
    <col min="3356" max="3356" width="8.42578125" style="305" customWidth="1"/>
    <col min="3357" max="3357" width="10" style="305" customWidth="1"/>
    <col min="3358" max="3359" width="10.85546875" style="305" customWidth="1"/>
    <col min="3360" max="3360" width="11.5703125" style="305" customWidth="1"/>
    <col min="3361" max="3367" width="10.85546875" style="305" customWidth="1"/>
    <col min="3368" max="3584" width="11.85546875" style="305"/>
    <col min="3585" max="3585" width="34.7109375" style="305" customWidth="1"/>
    <col min="3586" max="3586" width="10" style="305" customWidth="1"/>
    <col min="3587" max="3587" width="8.7109375" style="305" customWidth="1"/>
    <col min="3588" max="3588" width="7.7109375" style="305" customWidth="1"/>
    <col min="3589" max="3589" width="8.7109375" style="305" customWidth="1"/>
    <col min="3590" max="3590" width="9.140625" style="305" customWidth="1"/>
    <col min="3591" max="3591" width="10" style="305" customWidth="1"/>
    <col min="3592" max="3593" width="10.28515625" style="305" customWidth="1"/>
    <col min="3594" max="3594" width="11" style="305" customWidth="1"/>
    <col min="3595" max="3595" width="11.7109375" style="305" customWidth="1"/>
    <col min="3596" max="3596" width="10.28515625" style="305" customWidth="1"/>
    <col min="3597" max="3597" width="7.7109375" style="305" customWidth="1"/>
    <col min="3598" max="3598" width="22.7109375" style="305" customWidth="1"/>
    <col min="3599" max="3599" width="9.28515625" style="305" customWidth="1"/>
    <col min="3600" max="3600" width="10.7109375" style="305" customWidth="1"/>
    <col min="3601" max="3601" width="8.7109375" style="305" customWidth="1"/>
    <col min="3602" max="3602" width="8" style="305" customWidth="1"/>
    <col min="3603" max="3603" width="8.7109375" style="305" customWidth="1"/>
    <col min="3604" max="3604" width="10.5703125" style="305" customWidth="1"/>
    <col min="3605" max="3605" width="10.140625" style="305" customWidth="1"/>
    <col min="3606" max="3606" width="10.28515625" style="305" customWidth="1"/>
    <col min="3607" max="3607" width="10.85546875" style="305" customWidth="1"/>
    <col min="3608" max="3608" width="10.28515625" style="305" customWidth="1"/>
    <col min="3609" max="3609" width="13.28515625" style="305" customWidth="1"/>
    <col min="3610" max="3610" width="9.7109375" style="305" customWidth="1"/>
    <col min="3611" max="3611" width="9.5703125" style="305" customWidth="1"/>
    <col min="3612" max="3612" width="8.42578125" style="305" customWidth="1"/>
    <col min="3613" max="3613" width="10" style="305" customWidth="1"/>
    <col min="3614" max="3615" width="10.85546875" style="305" customWidth="1"/>
    <col min="3616" max="3616" width="11.5703125" style="305" customWidth="1"/>
    <col min="3617" max="3623" width="10.85546875" style="305" customWidth="1"/>
    <col min="3624" max="3840" width="11.85546875" style="305"/>
    <col min="3841" max="3841" width="34.7109375" style="305" customWidth="1"/>
    <col min="3842" max="3842" width="10" style="305" customWidth="1"/>
    <col min="3843" max="3843" width="8.7109375" style="305" customWidth="1"/>
    <col min="3844" max="3844" width="7.7109375" style="305" customWidth="1"/>
    <col min="3845" max="3845" width="8.7109375" style="305" customWidth="1"/>
    <col min="3846" max="3846" width="9.140625" style="305" customWidth="1"/>
    <col min="3847" max="3847" width="10" style="305" customWidth="1"/>
    <col min="3848" max="3849" width="10.28515625" style="305" customWidth="1"/>
    <col min="3850" max="3850" width="11" style="305" customWidth="1"/>
    <col min="3851" max="3851" width="11.7109375" style="305" customWidth="1"/>
    <col min="3852" max="3852" width="10.28515625" style="305" customWidth="1"/>
    <col min="3853" max="3853" width="7.7109375" style="305" customWidth="1"/>
    <col min="3854" max="3854" width="22.7109375" style="305" customWidth="1"/>
    <col min="3855" max="3855" width="9.28515625" style="305" customWidth="1"/>
    <col min="3856" max="3856" width="10.7109375" style="305" customWidth="1"/>
    <col min="3857" max="3857" width="8.7109375" style="305" customWidth="1"/>
    <col min="3858" max="3858" width="8" style="305" customWidth="1"/>
    <col min="3859" max="3859" width="8.7109375" style="305" customWidth="1"/>
    <col min="3860" max="3860" width="10.5703125" style="305" customWidth="1"/>
    <col min="3861" max="3861" width="10.140625" style="305" customWidth="1"/>
    <col min="3862" max="3862" width="10.28515625" style="305" customWidth="1"/>
    <col min="3863" max="3863" width="10.85546875" style="305" customWidth="1"/>
    <col min="3864" max="3864" width="10.28515625" style="305" customWidth="1"/>
    <col min="3865" max="3865" width="13.28515625" style="305" customWidth="1"/>
    <col min="3866" max="3866" width="9.7109375" style="305" customWidth="1"/>
    <col min="3867" max="3867" width="9.5703125" style="305" customWidth="1"/>
    <col min="3868" max="3868" width="8.42578125" style="305" customWidth="1"/>
    <col min="3869" max="3869" width="10" style="305" customWidth="1"/>
    <col min="3870" max="3871" width="10.85546875" style="305" customWidth="1"/>
    <col min="3872" max="3872" width="11.5703125" style="305" customWidth="1"/>
    <col min="3873" max="3879" width="10.85546875" style="305" customWidth="1"/>
    <col min="3880" max="4096" width="11.85546875" style="305"/>
    <col min="4097" max="4097" width="34.7109375" style="305" customWidth="1"/>
    <col min="4098" max="4098" width="10" style="305" customWidth="1"/>
    <col min="4099" max="4099" width="8.7109375" style="305" customWidth="1"/>
    <col min="4100" max="4100" width="7.7109375" style="305" customWidth="1"/>
    <col min="4101" max="4101" width="8.7109375" style="305" customWidth="1"/>
    <col min="4102" max="4102" width="9.140625" style="305" customWidth="1"/>
    <col min="4103" max="4103" width="10" style="305" customWidth="1"/>
    <col min="4104" max="4105" width="10.28515625" style="305" customWidth="1"/>
    <col min="4106" max="4106" width="11" style="305" customWidth="1"/>
    <col min="4107" max="4107" width="11.7109375" style="305" customWidth="1"/>
    <col min="4108" max="4108" width="10.28515625" style="305" customWidth="1"/>
    <col min="4109" max="4109" width="7.7109375" style="305" customWidth="1"/>
    <col min="4110" max="4110" width="22.7109375" style="305" customWidth="1"/>
    <col min="4111" max="4111" width="9.28515625" style="305" customWidth="1"/>
    <col min="4112" max="4112" width="10.7109375" style="305" customWidth="1"/>
    <col min="4113" max="4113" width="8.7109375" style="305" customWidth="1"/>
    <col min="4114" max="4114" width="8" style="305" customWidth="1"/>
    <col min="4115" max="4115" width="8.7109375" style="305" customWidth="1"/>
    <col min="4116" max="4116" width="10.5703125" style="305" customWidth="1"/>
    <col min="4117" max="4117" width="10.140625" style="305" customWidth="1"/>
    <col min="4118" max="4118" width="10.28515625" style="305" customWidth="1"/>
    <col min="4119" max="4119" width="10.85546875" style="305" customWidth="1"/>
    <col min="4120" max="4120" width="10.28515625" style="305" customWidth="1"/>
    <col min="4121" max="4121" width="13.28515625" style="305" customWidth="1"/>
    <col min="4122" max="4122" width="9.7109375" style="305" customWidth="1"/>
    <col min="4123" max="4123" width="9.5703125" style="305" customWidth="1"/>
    <col min="4124" max="4124" width="8.42578125" style="305" customWidth="1"/>
    <col min="4125" max="4125" width="10" style="305" customWidth="1"/>
    <col min="4126" max="4127" width="10.85546875" style="305" customWidth="1"/>
    <col min="4128" max="4128" width="11.5703125" style="305" customWidth="1"/>
    <col min="4129" max="4135" width="10.85546875" style="305" customWidth="1"/>
    <col min="4136" max="4352" width="11.85546875" style="305"/>
    <col min="4353" max="4353" width="34.7109375" style="305" customWidth="1"/>
    <col min="4354" max="4354" width="10" style="305" customWidth="1"/>
    <col min="4355" max="4355" width="8.7109375" style="305" customWidth="1"/>
    <col min="4356" max="4356" width="7.7109375" style="305" customWidth="1"/>
    <col min="4357" max="4357" width="8.7109375" style="305" customWidth="1"/>
    <col min="4358" max="4358" width="9.140625" style="305" customWidth="1"/>
    <col min="4359" max="4359" width="10" style="305" customWidth="1"/>
    <col min="4360" max="4361" width="10.28515625" style="305" customWidth="1"/>
    <col min="4362" max="4362" width="11" style="305" customWidth="1"/>
    <col min="4363" max="4363" width="11.7109375" style="305" customWidth="1"/>
    <col min="4364" max="4364" width="10.28515625" style="305" customWidth="1"/>
    <col min="4365" max="4365" width="7.7109375" style="305" customWidth="1"/>
    <col min="4366" max="4366" width="22.7109375" style="305" customWidth="1"/>
    <col min="4367" max="4367" width="9.28515625" style="305" customWidth="1"/>
    <col min="4368" max="4368" width="10.7109375" style="305" customWidth="1"/>
    <col min="4369" max="4369" width="8.7109375" style="305" customWidth="1"/>
    <col min="4370" max="4370" width="8" style="305" customWidth="1"/>
    <col min="4371" max="4371" width="8.7109375" style="305" customWidth="1"/>
    <col min="4372" max="4372" width="10.5703125" style="305" customWidth="1"/>
    <col min="4373" max="4373" width="10.140625" style="305" customWidth="1"/>
    <col min="4374" max="4374" width="10.28515625" style="305" customWidth="1"/>
    <col min="4375" max="4375" width="10.85546875" style="305" customWidth="1"/>
    <col min="4376" max="4376" width="10.28515625" style="305" customWidth="1"/>
    <col min="4377" max="4377" width="13.28515625" style="305" customWidth="1"/>
    <col min="4378" max="4378" width="9.7109375" style="305" customWidth="1"/>
    <col min="4379" max="4379" width="9.5703125" style="305" customWidth="1"/>
    <col min="4380" max="4380" width="8.42578125" style="305" customWidth="1"/>
    <col min="4381" max="4381" width="10" style="305" customWidth="1"/>
    <col min="4382" max="4383" width="10.85546875" style="305" customWidth="1"/>
    <col min="4384" max="4384" width="11.5703125" style="305" customWidth="1"/>
    <col min="4385" max="4391" width="10.85546875" style="305" customWidth="1"/>
    <col min="4392" max="4608" width="11.85546875" style="305"/>
    <col min="4609" max="4609" width="34.7109375" style="305" customWidth="1"/>
    <col min="4610" max="4610" width="10" style="305" customWidth="1"/>
    <col min="4611" max="4611" width="8.7109375" style="305" customWidth="1"/>
    <col min="4612" max="4612" width="7.7109375" style="305" customWidth="1"/>
    <col min="4613" max="4613" width="8.7109375" style="305" customWidth="1"/>
    <col min="4614" max="4614" width="9.140625" style="305" customWidth="1"/>
    <col min="4615" max="4615" width="10" style="305" customWidth="1"/>
    <col min="4616" max="4617" width="10.28515625" style="305" customWidth="1"/>
    <col min="4618" max="4618" width="11" style="305" customWidth="1"/>
    <col min="4619" max="4619" width="11.7109375" style="305" customWidth="1"/>
    <col min="4620" max="4620" width="10.28515625" style="305" customWidth="1"/>
    <col min="4621" max="4621" width="7.7109375" style="305" customWidth="1"/>
    <col min="4622" max="4622" width="22.7109375" style="305" customWidth="1"/>
    <col min="4623" max="4623" width="9.28515625" style="305" customWidth="1"/>
    <col min="4624" max="4624" width="10.7109375" style="305" customWidth="1"/>
    <col min="4625" max="4625" width="8.7109375" style="305" customWidth="1"/>
    <col min="4626" max="4626" width="8" style="305" customWidth="1"/>
    <col min="4627" max="4627" width="8.7109375" style="305" customWidth="1"/>
    <col min="4628" max="4628" width="10.5703125" style="305" customWidth="1"/>
    <col min="4629" max="4629" width="10.140625" style="305" customWidth="1"/>
    <col min="4630" max="4630" width="10.28515625" style="305" customWidth="1"/>
    <col min="4631" max="4631" width="10.85546875" style="305" customWidth="1"/>
    <col min="4632" max="4632" width="10.28515625" style="305" customWidth="1"/>
    <col min="4633" max="4633" width="13.28515625" style="305" customWidth="1"/>
    <col min="4634" max="4634" width="9.7109375" style="305" customWidth="1"/>
    <col min="4635" max="4635" width="9.5703125" style="305" customWidth="1"/>
    <col min="4636" max="4636" width="8.42578125" style="305" customWidth="1"/>
    <col min="4637" max="4637" width="10" style="305" customWidth="1"/>
    <col min="4638" max="4639" width="10.85546875" style="305" customWidth="1"/>
    <col min="4640" max="4640" width="11.5703125" style="305" customWidth="1"/>
    <col min="4641" max="4647" width="10.85546875" style="305" customWidth="1"/>
    <col min="4648" max="4864" width="11.85546875" style="305"/>
    <col min="4865" max="4865" width="34.7109375" style="305" customWidth="1"/>
    <col min="4866" max="4866" width="10" style="305" customWidth="1"/>
    <col min="4867" max="4867" width="8.7109375" style="305" customWidth="1"/>
    <col min="4868" max="4868" width="7.7109375" style="305" customWidth="1"/>
    <col min="4869" max="4869" width="8.7109375" style="305" customWidth="1"/>
    <col min="4870" max="4870" width="9.140625" style="305" customWidth="1"/>
    <col min="4871" max="4871" width="10" style="305" customWidth="1"/>
    <col min="4872" max="4873" width="10.28515625" style="305" customWidth="1"/>
    <col min="4874" max="4874" width="11" style="305" customWidth="1"/>
    <col min="4875" max="4875" width="11.7109375" style="305" customWidth="1"/>
    <col min="4876" max="4876" width="10.28515625" style="305" customWidth="1"/>
    <col min="4877" max="4877" width="7.7109375" style="305" customWidth="1"/>
    <col min="4878" max="4878" width="22.7109375" style="305" customWidth="1"/>
    <col min="4879" max="4879" width="9.28515625" style="305" customWidth="1"/>
    <col min="4880" max="4880" width="10.7109375" style="305" customWidth="1"/>
    <col min="4881" max="4881" width="8.7109375" style="305" customWidth="1"/>
    <col min="4882" max="4882" width="8" style="305" customWidth="1"/>
    <col min="4883" max="4883" width="8.7109375" style="305" customWidth="1"/>
    <col min="4884" max="4884" width="10.5703125" style="305" customWidth="1"/>
    <col min="4885" max="4885" width="10.140625" style="305" customWidth="1"/>
    <col min="4886" max="4886" width="10.28515625" style="305" customWidth="1"/>
    <col min="4887" max="4887" width="10.85546875" style="305" customWidth="1"/>
    <col min="4888" max="4888" width="10.28515625" style="305" customWidth="1"/>
    <col min="4889" max="4889" width="13.28515625" style="305" customWidth="1"/>
    <col min="4890" max="4890" width="9.7109375" style="305" customWidth="1"/>
    <col min="4891" max="4891" width="9.5703125" style="305" customWidth="1"/>
    <col min="4892" max="4892" width="8.42578125" style="305" customWidth="1"/>
    <col min="4893" max="4893" width="10" style="305" customWidth="1"/>
    <col min="4894" max="4895" width="10.85546875" style="305" customWidth="1"/>
    <col min="4896" max="4896" width="11.5703125" style="305" customWidth="1"/>
    <col min="4897" max="4903" width="10.85546875" style="305" customWidth="1"/>
    <col min="4904" max="5120" width="11.85546875" style="305"/>
    <col min="5121" max="5121" width="34.7109375" style="305" customWidth="1"/>
    <col min="5122" max="5122" width="10" style="305" customWidth="1"/>
    <col min="5123" max="5123" width="8.7109375" style="305" customWidth="1"/>
    <col min="5124" max="5124" width="7.7109375" style="305" customWidth="1"/>
    <col min="5125" max="5125" width="8.7109375" style="305" customWidth="1"/>
    <col min="5126" max="5126" width="9.140625" style="305" customWidth="1"/>
    <col min="5127" max="5127" width="10" style="305" customWidth="1"/>
    <col min="5128" max="5129" width="10.28515625" style="305" customWidth="1"/>
    <col min="5130" max="5130" width="11" style="305" customWidth="1"/>
    <col min="5131" max="5131" width="11.7109375" style="305" customWidth="1"/>
    <col min="5132" max="5132" width="10.28515625" style="305" customWidth="1"/>
    <col min="5133" max="5133" width="7.7109375" style="305" customWidth="1"/>
    <col min="5134" max="5134" width="22.7109375" style="305" customWidth="1"/>
    <col min="5135" max="5135" width="9.28515625" style="305" customWidth="1"/>
    <col min="5136" max="5136" width="10.7109375" style="305" customWidth="1"/>
    <col min="5137" max="5137" width="8.7109375" style="305" customWidth="1"/>
    <col min="5138" max="5138" width="8" style="305" customWidth="1"/>
    <col min="5139" max="5139" width="8.7109375" style="305" customWidth="1"/>
    <col min="5140" max="5140" width="10.5703125" style="305" customWidth="1"/>
    <col min="5141" max="5141" width="10.140625" style="305" customWidth="1"/>
    <col min="5142" max="5142" width="10.28515625" style="305" customWidth="1"/>
    <col min="5143" max="5143" width="10.85546875" style="305" customWidth="1"/>
    <col min="5144" max="5144" width="10.28515625" style="305" customWidth="1"/>
    <col min="5145" max="5145" width="13.28515625" style="305" customWidth="1"/>
    <col min="5146" max="5146" width="9.7109375" style="305" customWidth="1"/>
    <col min="5147" max="5147" width="9.5703125" style="305" customWidth="1"/>
    <col min="5148" max="5148" width="8.42578125" style="305" customWidth="1"/>
    <col min="5149" max="5149" width="10" style="305" customWidth="1"/>
    <col min="5150" max="5151" width="10.85546875" style="305" customWidth="1"/>
    <col min="5152" max="5152" width="11.5703125" style="305" customWidth="1"/>
    <col min="5153" max="5159" width="10.85546875" style="305" customWidth="1"/>
    <col min="5160" max="5376" width="11.85546875" style="305"/>
    <col min="5377" max="5377" width="34.7109375" style="305" customWidth="1"/>
    <col min="5378" max="5378" width="10" style="305" customWidth="1"/>
    <col min="5379" max="5379" width="8.7109375" style="305" customWidth="1"/>
    <col min="5380" max="5380" width="7.7109375" style="305" customWidth="1"/>
    <col min="5381" max="5381" width="8.7109375" style="305" customWidth="1"/>
    <col min="5382" max="5382" width="9.140625" style="305" customWidth="1"/>
    <col min="5383" max="5383" width="10" style="305" customWidth="1"/>
    <col min="5384" max="5385" width="10.28515625" style="305" customWidth="1"/>
    <col min="5386" max="5386" width="11" style="305" customWidth="1"/>
    <col min="5387" max="5387" width="11.7109375" style="305" customWidth="1"/>
    <col min="5388" max="5388" width="10.28515625" style="305" customWidth="1"/>
    <col min="5389" max="5389" width="7.7109375" style="305" customWidth="1"/>
    <col min="5390" max="5390" width="22.7109375" style="305" customWidth="1"/>
    <col min="5391" max="5391" width="9.28515625" style="305" customWidth="1"/>
    <col min="5392" max="5392" width="10.7109375" style="305" customWidth="1"/>
    <col min="5393" max="5393" width="8.7109375" style="305" customWidth="1"/>
    <col min="5394" max="5394" width="8" style="305" customWidth="1"/>
    <col min="5395" max="5395" width="8.7109375" style="305" customWidth="1"/>
    <col min="5396" max="5396" width="10.5703125" style="305" customWidth="1"/>
    <col min="5397" max="5397" width="10.140625" style="305" customWidth="1"/>
    <col min="5398" max="5398" width="10.28515625" style="305" customWidth="1"/>
    <col min="5399" max="5399" width="10.85546875" style="305" customWidth="1"/>
    <col min="5400" max="5400" width="10.28515625" style="305" customWidth="1"/>
    <col min="5401" max="5401" width="13.28515625" style="305" customWidth="1"/>
    <col min="5402" max="5402" width="9.7109375" style="305" customWidth="1"/>
    <col min="5403" max="5403" width="9.5703125" style="305" customWidth="1"/>
    <col min="5404" max="5404" width="8.42578125" style="305" customWidth="1"/>
    <col min="5405" max="5405" width="10" style="305" customWidth="1"/>
    <col min="5406" max="5407" width="10.85546875" style="305" customWidth="1"/>
    <col min="5408" max="5408" width="11.5703125" style="305" customWidth="1"/>
    <col min="5409" max="5415" width="10.85546875" style="305" customWidth="1"/>
    <col min="5416" max="5632" width="11.85546875" style="305"/>
    <col min="5633" max="5633" width="34.7109375" style="305" customWidth="1"/>
    <col min="5634" max="5634" width="10" style="305" customWidth="1"/>
    <col min="5635" max="5635" width="8.7109375" style="305" customWidth="1"/>
    <col min="5636" max="5636" width="7.7109375" style="305" customWidth="1"/>
    <col min="5637" max="5637" width="8.7109375" style="305" customWidth="1"/>
    <col min="5638" max="5638" width="9.140625" style="305" customWidth="1"/>
    <col min="5639" max="5639" width="10" style="305" customWidth="1"/>
    <col min="5640" max="5641" width="10.28515625" style="305" customWidth="1"/>
    <col min="5642" max="5642" width="11" style="305" customWidth="1"/>
    <col min="5643" max="5643" width="11.7109375" style="305" customWidth="1"/>
    <col min="5644" max="5644" width="10.28515625" style="305" customWidth="1"/>
    <col min="5645" max="5645" width="7.7109375" style="305" customWidth="1"/>
    <col min="5646" max="5646" width="22.7109375" style="305" customWidth="1"/>
    <col min="5647" max="5647" width="9.28515625" style="305" customWidth="1"/>
    <col min="5648" max="5648" width="10.7109375" style="305" customWidth="1"/>
    <col min="5649" max="5649" width="8.7109375" style="305" customWidth="1"/>
    <col min="5650" max="5650" width="8" style="305" customWidth="1"/>
    <col min="5651" max="5651" width="8.7109375" style="305" customWidth="1"/>
    <col min="5652" max="5652" width="10.5703125" style="305" customWidth="1"/>
    <col min="5653" max="5653" width="10.140625" style="305" customWidth="1"/>
    <col min="5654" max="5654" width="10.28515625" style="305" customWidth="1"/>
    <col min="5655" max="5655" width="10.85546875" style="305" customWidth="1"/>
    <col min="5656" max="5656" width="10.28515625" style="305" customWidth="1"/>
    <col min="5657" max="5657" width="13.28515625" style="305" customWidth="1"/>
    <col min="5658" max="5658" width="9.7109375" style="305" customWidth="1"/>
    <col min="5659" max="5659" width="9.5703125" style="305" customWidth="1"/>
    <col min="5660" max="5660" width="8.42578125" style="305" customWidth="1"/>
    <col min="5661" max="5661" width="10" style="305" customWidth="1"/>
    <col min="5662" max="5663" width="10.85546875" style="305" customWidth="1"/>
    <col min="5664" max="5664" width="11.5703125" style="305" customWidth="1"/>
    <col min="5665" max="5671" width="10.85546875" style="305" customWidth="1"/>
    <col min="5672" max="5888" width="11.85546875" style="305"/>
    <col min="5889" max="5889" width="34.7109375" style="305" customWidth="1"/>
    <col min="5890" max="5890" width="10" style="305" customWidth="1"/>
    <col min="5891" max="5891" width="8.7109375" style="305" customWidth="1"/>
    <col min="5892" max="5892" width="7.7109375" style="305" customWidth="1"/>
    <col min="5893" max="5893" width="8.7109375" style="305" customWidth="1"/>
    <col min="5894" max="5894" width="9.140625" style="305" customWidth="1"/>
    <col min="5895" max="5895" width="10" style="305" customWidth="1"/>
    <col min="5896" max="5897" width="10.28515625" style="305" customWidth="1"/>
    <col min="5898" max="5898" width="11" style="305" customWidth="1"/>
    <col min="5899" max="5899" width="11.7109375" style="305" customWidth="1"/>
    <col min="5900" max="5900" width="10.28515625" style="305" customWidth="1"/>
    <col min="5901" max="5901" width="7.7109375" style="305" customWidth="1"/>
    <col min="5902" max="5902" width="22.7109375" style="305" customWidth="1"/>
    <col min="5903" max="5903" width="9.28515625" style="305" customWidth="1"/>
    <col min="5904" max="5904" width="10.7109375" style="305" customWidth="1"/>
    <col min="5905" max="5905" width="8.7109375" style="305" customWidth="1"/>
    <col min="5906" max="5906" width="8" style="305" customWidth="1"/>
    <col min="5907" max="5907" width="8.7109375" style="305" customWidth="1"/>
    <col min="5908" max="5908" width="10.5703125" style="305" customWidth="1"/>
    <col min="5909" max="5909" width="10.140625" style="305" customWidth="1"/>
    <col min="5910" max="5910" width="10.28515625" style="305" customWidth="1"/>
    <col min="5911" max="5911" width="10.85546875" style="305" customWidth="1"/>
    <col min="5912" max="5912" width="10.28515625" style="305" customWidth="1"/>
    <col min="5913" max="5913" width="13.28515625" style="305" customWidth="1"/>
    <col min="5914" max="5914" width="9.7109375" style="305" customWidth="1"/>
    <col min="5915" max="5915" width="9.5703125" style="305" customWidth="1"/>
    <col min="5916" max="5916" width="8.42578125" style="305" customWidth="1"/>
    <col min="5917" max="5917" width="10" style="305" customWidth="1"/>
    <col min="5918" max="5919" width="10.85546875" style="305" customWidth="1"/>
    <col min="5920" max="5920" width="11.5703125" style="305" customWidth="1"/>
    <col min="5921" max="5927" width="10.85546875" style="305" customWidth="1"/>
    <col min="5928" max="6144" width="11.85546875" style="305"/>
    <col min="6145" max="6145" width="34.7109375" style="305" customWidth="1"/>
    <col min="6146" max="6146" width="10" style="305" customWidth="1"/>
    <col min="6147" max="6147" width="8.7109375" style="305" customWidth="1"/>
    <col min="6148" max="6148" width="7.7109375" style="305" customWidth="1"/>
    <col min="6149" max="6149" width="8.7109375" style="305" customWidth="1"/>
    <col min="6150" max="6150" width="9.140625" style="305" customWidth="1"/>
    <col min="6151" max="6151" width="10" style="305" customWidth="1"/>
    <col min="6152" max="6153" width="10.28515625" style="305" customWidth="1"/>
    <col min="6154" max="6154" width="11" style="305" customWidth="1"/>
    <col min="6155" max="6155" width="11.7109375" style="305" customWidth="1"/>
    <col min="6156" max="6156" width="10.28515625" style="305" customWidth="1"/>
    <col min="6157" max="6157" width="7.7109375" style="305" customWidth="1"/>
    <col min="6158" max="6158" width="22.7109375" style="305" customWidth="1"/>
    <col min="6159" max="6159" width="9.28515625" style="305" customWidth="1"/>
    <col min="6160" max="6160" width="10.7109375" style="305" customWidth="1"/>
    <col min="6161" max="6161" width="8.7109375" style="305" customWidth="1"/>
    <col min="6162" max="6162" width="8" style="305" customWidth="1"/>
    <col min="6163" max="6163" width="8.7109375" style="305" customWidth="1"/>
    <col min="6164" max="6164" width="10.5703125" style="305" customWidth="1"/>
    <col min="6165" max="6165" width="10.140625" style="305" customWidth="1"/>
    <col min="6166" max="6166" width="10.28515625" style="305" customWidth="1"/>
    <col min="6167" max="6167" width="10.85546875" style="305" customWidth="1"/>
    <col min="6168" max="6168" width="10.28515625" style="305" customWidth="1"/>
    <col min="6169" max="6169" width="13.28515625" style="305" customWidth="1"/>
    <col min="6170" max="6170" width="9.7109375" style="305" customWidth="1"/>
    <col min="6171" max="6171" width="9.5703125" style="305" customWidth="1"/>
    <col min="6172" max="6172" width="8.42578125" style="305" customWidth="1"/>
    <col min="6173" max="6173" width="10" style="305" customWidth="1"/>
    <col min="6174" max="6175" width="10.85546875" style="305" customWidth="1"/>
    <col min="6176" max="6176" width="11.5703125" style="305" customWidth="1"/>
    <col min="6177" max="6183" width="10.85546875" style="305" customWidth="1"/>
    <col min="6184" max="6400" width="11.85546875" style="305"/>
    <col min="6401" max="6401" width="34.7109375" style="305" customWidth="1"/>
    <col min="6402" max="6402" width="10" style="305" customWidth="1"/>
    <col min="6403" max="6403" width="8.7109375" style="305" customWidth="1"/>
    <col min="6404" max="6404" width="7.7109375" style="305" customWidth="1"/>
    <col min="6405" max="6405" width="8.7109375" style="305" customWidth="1"/>
    <col min="6406" max="6406" width="9.140625" style="305" customWidth="1"/>
    <col min="6407" max="6407" width="10" style="305" customWidth="1"/>
    <col min="6408" max="6409" width="10.28515625" style="305" customWidth="1"/>
    <col min="6410" max="6410" width="11" style="305" customWidth="1"/>
    <col min="6411" max="6411" width="11.7109375" style="305" customWidth="1"/>
    <col min="6412" max="6412" width="10.28515625" style="305" customWidth="1"/>
    <col min="6413" max="6413" width="7.7109375" style="305" customWidth="1"/>
    <col min="6414" max="6414" width="22.7109375" style="305" customWidth="1"/>
    <col min="6415" max="6415" width="9.28515625" style="305" customWidth="1"/>
    <col min="6416" max="6416" width="10.7109375" style="305" customWidth="1"/>
    <col min="6417" max="6417" width="8.7109375" style="305" customWidth="1"/>
    <col min="6418" max="6418" width="8" style="305" customWidth="1"/>
    <col min="6419" max="6419" width="8.7109375" style="305" customWidth="1"/>
    <col min="6420" max="6420" width="10.5703125" style="305" customWidth="1"/>
    <col min="6421" max="6421" width="10.140625" style="305" customWidth="1"/>
    <col min="6422" max="6422" width="10.28515625" style="305" customWidth="1"/>
    <col min="6423" max="6423" width="10.85546875" style="305" customWidth="1"/>
    <col min="6424" max="6424" width="10.28515625" style="305" customWidth="1"/>
    <col min="6425" max="6425" width="13.28515625" style="305" customWidth="1"/>
    <col min="6426" max="6426" width="9.7109375" style="305" customWidth="1"/>
    <col min="6427" max="6427" width="9.5703125" style="305" customWidth="1"/>
    <col min="6428" max="6428" width="8.42578125" style="305" customWidth="1"/>
    <col min="6429" max="6429" width="10" style="305" customWidth="1"/>
    <col min="6430" max="6431" width="10.85546875" style="305" customWidth="1"/>
    <col min="6432" max="6432" width="11.5703125" style="305" customWidth="1"/>
    <col min="6433" max="6439" width="10.85546875" style="305" customWidth="1"/>
    <col min="6440" max="6656" width="11.85546875" style="305"/>
    <col min="6657" max="6657" width="34.7109375" style="305" customWidth="1"/>
    <col min="6658" max="6658" width="10" style="305" customWidth="1"/>
    <col min="6659" max="6659" width="8.7109375" style="305" customWidth="1"/>
    <col min="6660" max="6660" width="7.7109375" style="305" customWidth="1"/>
    <col min="6661" max="6661" width="8.7109375" style="305" customWidth="1"/>
    <col min="6662" max="6662" width="9.140625" style="305" customWidth="1"/>
    <col min="6663" max="6663" width="10" style="305" customWidth="1"/>
    <col min="6664" max="6665" width="10.28515625" style="305" customWidth="1"/>
    <col min="6666" max="6666" width="11" style="305" customWidth="1"/>
    <col min="6667" max="6667" width="11.7109375" style="305" customWidth="1"/>
    <col min="6668" max="6668" width="10.28515625" style="305" customWidth="1"/>
    <col min="6669" max="6669" width="7.7109375" style="305" customWidth="1"/>
    <col min="6670" max="6670" width="22.7109375" style="305" customWidth="1"/>
    <col min="6671" max="6671" width="9.28515625" style="305" customWidth="1"/>
    <col min="6672" max="6672" width="10.7109375" style="305" customWidth="1"/>
    <col min="6673" max="6673" width="8.7109375" style="305" customWidth="1"/>
    <col min="6674" max="6674" width="8" style="305" customWidth="1"/>
    <col min="6675" max="6675" width="8.7109375" style="305" customWidth="1"/>
    <col min="6676" max="6676" width="10.5703125" style="305" customWidth="1"/>
    <col min="6677" max="6677" width="10.140625" style="305" customWidth="1"/>
    <col min="6678" max="6678" width="10.28515625" style="305" customWidth="1"/>
    <col min="6679" max="6679" width="10.85546875" style="305" customWidth="1"/>
    <col min="6680" max="6680" width="10.28515625" style="305" customWidth="1"/>
    <col min="6681" max="6681" width="13.28515625" style="305" customWidth="1"/>
    <col min="6682" max="6682" width="9.7109375" style="305" customWidth="1"/>
    <col min="6683" max="6683" width="9.5703125" style="305" customWidth="1"/>
    <col min="6684" max="6684" width="8.42578125" style="305" customWidth="1"/>
    <col min="6685" max="6685" width="10" style="305" customWidth="1"/>
    <col min="6686" max="6687" width="10.85546875" style="305" customWidth="1"/>
    <col min="6688" max="6688" width="11.5703125" style="305" customWidth="1"/>
    <col min="6689" max="6695" width="10.85546875" style="305" customWidth="1"/>
    <col min="6696" max="6912" width="11.85546875" style="305"/>
    <col min="6913" max="6913" width="34.7109375" style="305" customWidth="1"/>
    <col min="6914" max="6914" width="10" style="305" customWidth="1"/>
    <col min="6915" max="6915" width="8.7109375" style="305" customWidth="1"/>
    <col min="6916" max="6916" width="7.7109375" style="305" customWidth="1"/>
    <col min="6917" max="6917" width="8.7109375" style="305" customWidth="1"/>
    <col min="6918" max="6918" width="9.140625" style="305" customWidth="1"/>
    <col min="6919" max="6919" width="10" style="305" customWidth="1"/>
    <col min="6920" max="6921" width="10.28515625" style="305" customWidth="1"/>
    <col min="6922" max="6922" width="11" style="305" customWidth="1"/>
    <col min="6923" max="6923" width="11.7109375" style="305" customWidth="1"/>
    <col min="6924" max="6924" width="10.28515625" style="305" customWidth="1"/>
    <col min="6925" max="6925" width="7.7109375" style="305" customWidth="1"/>
    <col min="6926" max="6926" width="22.7109375" style="305" customWidth="1"/>
    <col min="6927" max="6927" width="9.28515625" style="305" customWidth="1"/>
    <col min="6928" max="6928" width="10.7109375" style="305" customWidth="1"/>
    <col min="6929" max="6929" width="8.7109375" style="305" customWidth="1"/>
    <col min="6930" max="6930" width="8" style="305" customWidth="1"/>
    <col min="6931" max="6931" width="8.7109375" style="305" customWidth="1"/>
    <col min="6932" max="6932" width="10.5703125" style="305" customWidth="1"/>
    <col min="6933" max="6933" width="10.140625" style="305" customWidth="1"/>
    <col min="6934" max="6934" width="10.28515625" style="305" customWidth="1"/>
    <col min="6935" max="6935" width="10.85546875" style="305" customWidth="1"/>
    <col min="6936" max="6936" width="10.28515625" style="305" customWidth="1"/>
    <col min="6937" max="6937" width="13.28515625" style="305" customWidth="1"/>
    <col min="6938" max="6938" width="9.7109375" style="305" customWidth="1"/>
    <col min="6939" max="6939" width="9.5703125" style="305" customWidth="1"/>
    <col min="6940" max="6940" width="8.42578125" style="305" customWidth="1"/>
    <col min="6941" max="6941" width="10" style="305" customWidth="1"/>
    <col min="6942" max="6943" width="10.85546875" style="305" customWidth="1"/>
    <col min="6944" max="6944" width="11.5703125" style="305" customWidth="1"/>
    <col min="6945" max="6951" width="10.85546875" style="305" customWidth="1"/>
    <col min="6952" max="7168" width="11.85546875" style="305"/>
    <col min="7169" max="7169" width="34.7109375" style="305" customWidth="1"/>
    <col min="7170" max="7170" width="10" style="305" customWidth="1"/>
    <col min="7171" max="7171" width="8.7109375" style="305" customWidth="1"/>
    <col min="7172" max="7172" width="7.7109375" style="305" customWidth="1"/>
    <col min="7173" max="7173" width="8.7109375" style="305" customWidth="1"/>
    <col min="7174" max="7174" width="9.140625" style="305" customWidth="1"/>
    <col min="7175" max="7175" width="10" style="305" customWidth="1"/>
    <col min="7176" max="7177" width="10.28515625" style="305" customWidth="1"/>
    <col min="7178" max="7178" width="11" style="305" customWidth="1"/>
    <col min="7179" max="7179" width="11.7109375" style="305" customWidth="1"/>
    <col min="7180" max="7180" width="10.28515625" style="305" customWidth="1"/>
    <col min="7181" max="7181" width="7.7109375" style="305" customWidth="1"/>
    <col min="7182" max="7182" width="22.7109375" style="305" customWidth="1"/>
    <col min="7183" max="7183" width="9.28515625" style="305" customWidth="1"/>
    <col min="7184" max="7184" width="10.7109375" style="305" customWidth="1"/>
    <col min="7185" max="7185" width="8.7109375" style="305" customWidth="1"/>
    <col min="7186" max="7186" width="8" style="305" customWidth="1"/>
    <col min="7187" max="7187" width="8.7109375" style="305" customWidth="1"/>
    <col min="7188" max="7188" width="10.5703125" style="305" customWidth="1"/>
    <col min="7189" max="7189" width="10.140625" style="305" customWidth="1"/>
    <col min="7190" max="7190" width="10.28515625" style="305" customWidth="1"/>
    <col min="7191" max="7191" width="10.85546875" style="305" customWidth="1"/>
    <col min="7192" max="7192" width="10.28515625" style="305" customWidth="1"/>
    <col min="7193" max="7193" width="13.28515625" style="305" customWidth="1"/>
    <col min="7194" max="7194" width="9.7109375" style="305" customWidth="1"/>
    <col min="7195" max="7195" width="9.5703125" style="305" customWidth="1"/>
    <col min="7196" max="7196" width="8.42578125" style="305" customWidth="1"/>
    <col min="7197" max="7197" width="10" style="305" customWidth="1"/>
    <col min="7198" max="7199" width="10.85546875" style="305" customWidth="1"/>
    <col min="7200" max="7200" width="11.5703125" style="305" customWidth="1"/>
    <col min="7201" max="7207" width="10.85546875" style="305" customWidth="1"/>
    <col min="7208" max="7424" width="11.85546875" style="305"/>
    <col min="7425" max="7425" width="34.7109375" style="305" customWidth="1"/>
    <col min="7426" max="7426" width="10" style="305" customWidth="1"/>
    <col min="7427" max="7427" width="8.7109375" style="305" customWidth="1"/>
    <col min="7428" max="7428" width="7.7109375" style="305" customWidth="1"/>
    <col min="7429" max="7429" width="8.7109375" style="305" customWidth="1"/>
    <col min="7430" max="7430" width="9.140625" style="305" customWidth="1"/>
    <col min="7431" max="7431" width="10" style="305" customWidth="1"/>
    <col min="7432" max="7433" width="10.28515625" style="305" customWidth="1"/>
    <col min="7434" max="7434" width="11" style="305" customWidth="1"/>
    <col min="7435" max="7435" width="11.7109375" style="305" customWidth="1"/>
    <col min="7436" max="7436" width="10.28515625" style="305" customWidth="1"/>
    <col min="7437" max="7437" width="7.7109375" style="305" customWidth="1"/>
    <col min="7438" max="7438" width="22.7109375" style="305" customWidth="1"/>
    <col min="7439" max="7439" width="9.28515625" style="305" customWidth="1"/>
    <col min="7440" max="7440" width="10.7109375" style="305" customWidth="1"/>
    <col min="7441" max="7441" width="8.7109375" style="305" customWidth="1"/>
    <col min="7442" max="7442" width="8" style="305" customWidth="1"/>
    <col min="7443" max="7443" width="8.7109375" style="305" customWidth="1"/>
    <col min="7444" max="7444" width="10.5703125" style="305" customWidth="1"/>
    <col min="7445" max="7445" width="10.140625" style="305" customWidth="1"/>
    <col min="7446" max="7446" width="10.28515625" style="305" customWidth="1"/>
    <col min="7447" max="7447" width="10.85546875" style="305" customWidth="1"/>
    <col min="7448" max="7448" width="10.28515625" style="305" customWidth="1"/>
    <col min="7449" max="7449" width="13.28515625" style="305" customWidth="1"/>
    <col min="7450" max="7450" width="9.7109375" style="305" customWidth="1"/>
    <col min="7451" max="7451" width="9.5703125" style="305" customWidth="1"/>
    <col min="7452" max="7452" width="8.42578125" style="305" customWidth="1"/>
    <col min="7453" max="7453" width="10" style="305" customWidth="1"/>
    <col min="7454" max="7455" width="10.85546875" style="305" customWidth="1"/>
    <col min="7456" max="7456" width="11.5703125" style="305" customWidth="1"/>
    <col min="7457" max="7463" width="10.85546875" style="305" customWidth="1"/>
    <col min="7464" max="7680" width="11.85546875" style="305"/>
    <col min="7681" max="7681" width="34.7109375" style="305" customWidth="1"/>
    <col min="7682" max="7682" width="10" style="305" customWidth="1"/>
    <col min="7683" max="7683" width="8.7109375" style="305" customWidth="1"/>
    <col min="7684" max="7684" width="7.7109375" style="305" customWidth="1"/>
    <col min="7685" max="7685" width="8.7109375" style="305" customWidth="1"/>
    <col min="7686" max="7686" width="9.140625" style="305" customWidth="1"/>
    <col min="7687" max="7687" width="10" style="305" customWidth="1"/>
    <col min="7688" max="7689" width="10.28515625" style="305" customWidth="1"/>
    <col min="7690" max="7690" width="11" style="305" customWidth="1"/>
    <col min="7691" max="7691" width="11.7109375" style="305" customWidth="1"/>
    <col min="7692" max="7692" width="10.28515625" style="305" customWidth="1"/>
    <col min="7693" max="7693" width="7.7109375" style="305" customWidth="1"/>
    <col min="7694" max="7694" width="22.7109375" style="305" customWidth="1"/>
    <col min="7695" max="7695" width="9.28515625" style="305" customWidth="1"/>
    <col min="7696" max="7696" width="10.7109375" style="305" customWidth="1"/>
    <col min="7697" max="7697" width="8.7109375" style="305" customWidth="1"/>
    <col min="7698" max="7698" width="8" style="305" customWidth="1"/>
    <col min="7699" max="7699" width="8.7109375" style="305" customWidth="1"/>
    <col min="7700" max="7700" width="10.5703125" style="305" customWidth="1"/>
    <col min="7701" max="7701" width="10.140625" style="305" customWidth="1"/>
    <col min="7702" max="7702" width="10.28515625" style="305" customWidth="1"/>
    <col min="7703" max="7703" width="10.85546875" style="305" customWidth="1"/>
    <col min="7704" max="7704" width="10.28515625" style="305" customWidth="1"/>
    <col min="7705" max="7705" width="13.28515625" style="305" customWidth="1"/>
    <col min="7706" max="7706" width="9.7109375" style="305" customWidth="1"/>
    <col min="7707" max="7707" width="9.5703125" style="305" customWidth="1"/>
    <col min="7708" max="7708" width="8.42578125" style="305" customWidth="1"/>
    <col min="7709" max="7709" width="10" style="305" customWidth="1"/>
    <col min="7710" max="7711" width="10.85546875" style="305" customWidth="1"/>
    <col min="7712" max="7712" width="11.5703125" style="305" customWidth="1"/>
    <col min="7713" max="7719" width="10.85546875" style="305" customWidth="1"/>
    <col min="7720" max="7936" width="11.85546875" style="305"/>
    <col min="7937" max="7937" width="34.7109375" style="305" customWidth="1"/>
    <col min="7938" max="7938" width="10" style="305" customWidth="1"/>
    <col min="7939" max="7939" width="8.7109375" style="305" customWidth="1"/>
    <col min="7940" max="7940" width="7.7109375" style="305" customWidth="1"/>
    <col min="7941" max="7941" width="8.7109375" style="305" customWidth="1"/>
    <col min="7942" max="7942" width="9.140625" style="305" customWidth="1"/>
    <col min="7943" max="7943" width="10" style="305" customWidth="1"/>
    <col min="7944" max="7945" width="10.28515625" style="305" customWidth="1"/>
    <col min="7946" max="7946" width="11" style="305" customWidth="1"/>
    <col min="7947" max="7947" width="11.7109375" style="305" customWidth="1"/>
    <col min="7948" max="7948" width="10.28515625" style="305" customWidth="1"/>
    <col min="7949" max="7949" width="7.7109375" style="305" customWidth="1"/>
    <col min="7950" max="7950" width="22.7109375" style="305" customWidth="1"/>
    <col min="7951" max="7951" width="9.28515625" style="305" customWidth="1"/>
    <col min="7952" max="7952" width="10.7109375" style="305" customWidth="1"/>
    <col min="7953" max="7953" width="8.7109375" style="305" customWidth="1"/>
    <col min="7954" max="7954" width="8" style="305" customWidth="1"/>
    <col min="7955" max="7955" width="8.7109375" style="305" customWidth="1"/>
    <col min="7956" max="7956" width="10.5703125" style="305" customWidth="1"/>
    <col min="7957" max="7957" width="10.140625" style="305" customWidth="1"/>
    <col min="7958" max="7958" width="10.28515625" style="305" customWidth="1"/>
    <col min="7959" max="7959" width="10.85546875" style="305" customWidth="1"/>
    <col min="7960" max="7960" width="10.28515625" style="305" customWidth="1"/>
    <col min="7961" max="7961" width="13.28515625" style="305" customWidth="1"/>
    <col min="7962" max="7962" width="9.7109375" style="305" customWidth="1"/>
    <col min="7963" max="7963" width="9.5703125" style="305" customWidth="1"/>
    <col min="7964" max="7964" width="8.42578125" style="305" customWidth="1"/>
    <col min="7965" max="7965" width="10" style="305" customWidth="1"/>
    <col min="7966" max="7967" width="10.85546875" style="305" customWidth="1"/>
    <col min="7968" max="7968" width="11.5703125" style="305" customWidth="1"/>
    <col min="7969" max="7975" width="10.85546875" style="305" customWidth="1"/>
    <col min="7976" max="8192" width="11.85546875" style="305"/>
    <col min="8193" max="8193" width="34.7109375" style="305" customWidth="1"/>
    <col min="8194" max="8194" width="10" style="305" customWidth="1"/>
    <col min="8195" max="8195" width="8.7109375" style="305" customWidth="1"/>
    <col min="8196" max="8196" width="7.7109375" style="305" customWidth="1"/>
    <col min="8197" max="8197" width="8.7109375" style="305" customWidth="1"/>
    <col min="8198" max="8198" width="9.140625" style="305" customWidth="1"/>
    <col min="8199" max="8199" width="10" style="305" customWidth="1"/>
    <col min="8200" max="8201" width="10.28515625" style="305" customWidth="1"/>
    <col min="8202" max="8202" width="11" style="305" customWidth="1"/>
    <col min="8203" max="8203" width="11.7109375" style="305" customWidth="1"/>
    <col min="8204" max="8204" width="10.28515625" style="305" customWidth="1"/>
    <col min="8205" max="8205" width="7.7109375" style="305" customWidth="1"/>
    <col min="8206" max="8206" width="22.7109375" style="305" customWidth="1"/>
    <col min="8207" max="8207" width="9.28515625" style="305" customWidth="1"/>
    <col min="8208" max="8208" width="10.7109375" style="305" customWidth="1"/>
    <col min="8209" max="8209" width="8.7109375" style="305" customWidth="1"/>
    <col min="8210" max="8210" width="8" style="305" customWidth="1"/>
    <col min="8211" max="8211" width="8.7109375" style="305" customWidth="1"/>
    <col min="8212" max="8212" width="10.5703125" style="305" customWidth="1"/>
    <col min="8213" max="8213" width="10.140625" style="305" customWidth="1"/>
    <col min="8214" max="8214" width="10.28515625" style="305" customWidth="1"/>
    <col min="8215" max="8215" width="10.85546875" style="305" customWidth="1"/>
    <col min="8216" max="8216" width="10.28515625" style="305" customWidth="1"/>
    <col min="8217" max="8217" width="13.28515625" style="305" customWidth="1"/>
    <col min="8218" max="8218" width="9.7109375" style="305" customWidth="1"/>
    <col min="8219" max="8219" width="9.5703125" style="305" customWidth="1"/>
    <col min="8220" max="8220" width="8.42578125" style="305" customWidth="1"/>
    <col min="8221" max="8221" width="10" style="305" customWidth="1"/>
    <col min="8222" max="8223" width="10.85546875" style="305" customWidth="1"/>
    <col min="8224" max="8224" width="11.5703125" style="305" customWidth="1"/>
    <col min="8225" max="8231" width="10.85546875" style="305" customWidth="1"/>
    <col min="8232" max="8448" width="11.85546875" style="305"/>
    <col min="8449" max="8449" width="34.7109375" style="305" customWidth="1"/>
    <col min="8450" max="8450" width="10" style="305" customWidth="1"/>
    <col min="8451" max="8451" width="8.7109375" style="305" customWidth="1"/>
    <col min="8452" max="8452" width="7.7109375" style="305" customWidth="1"/>
    <col min="8453" max="8453" width="8.7109375" style="305" customWidth="1"/>
    <col min="8454" max="8454" width="9.140625" style="305" customWidth="1"/>
    <col min="8455" max="8455" width="10" style="305" customWidth="1"/>
    <col min="8456" max="8457" width="10.28515625" style="305" customWidth="1"/>
    <col min="8458" max="8458" width="11" style="305" customWidth="1"/>
    <col min="8459" max="8459" width="11.7109375" style="305" customWidth="1"/>
    <col min="8460" max="8460" width="10.28515625" style="305" customWidth="1"/>
    <col min="8461" max="8461" width="7.7109375" style="305" customWidth="1"/>
    <col min="8462" max="8462" width="22.7109375" style="305" customWidth="1"/>
    <col min="8463" max="8463" width="9.28515625" style="305" customWidth="1"/>
    <col min="8464" max="8464" width="10.7109375" style="305" customWidth="1"/>
    <col min="8465" max="8465" width="8.7109375" style="305" customWidth="1"/>
    <col min="8466" max="8466" width="8" style="305" customWidth="1"/>
    <col min="8467" max="8467" width="8.7109375" style="305" customWidth="1"/>
    <col min="8468" max="8468" width="10.5703125" style="305" customWidth="1"/>
    <col min="8469" max="8469" width="10.140625" style="305" customWidth="1"/>
    <col min="8470" max="8470" width="10.28515625" style="305" customWidth="1"/>
    <col min="8471" max="8471" width="10.85546875" style="305" customWidth="1"/>
    <col min="8472" max="8472" width="10.28515625" style="305" customWidth="1"/>
    <col min="8473" max="8473" width="13.28515625" style="305" customWidth="1"/>
    <col min="8474" max="8474" width="9.7109375" style="305" customWidth="1"/>
    <col min="8475" max="8475" width="9.5703125" style="305" customWidth="1"/>
    <col min="8476" max="8476" width="8.42578125" style="305" customWidth="1"/>
    <col min="8477" max="8477" width="10" style="305" customWidth="1"/>
    <col min="8478" max="8479" width="10.85546875" style="305" customWidth="1"/>
    <col min="8480" max="8480" width="11.5703125" style="305" customWidth="1"/>
    <col min="8481" max="8487" width="10.85546875" style="305" customWidth="1"/>
    <col min="8488" max="8704" width="11.85546875" style="305"/>
    <col min="8705" max="8705" width="34.7109375" style="305" customWidth="1"/>
    <col min="8706" max="8706" width="10" style="305" customWidth="1"/>
    <col min="8707" max="8707" width="8.7109375" style="305" customWidth="1"/>
    <col min="8708" max="8708" width="7.7109375" style="305" customWidth="1"/>
    <col min="8709" max="8709" width="8.7109375" style="305" customWidth="1"/>
    <col min="8710" max="8710" width="9.140625" style="305" customWidth="1"/>
    <col min="8711" max="8711" width="10" style="305" customWidth="1"/>
    <col min="8712" max="8713" width="10.28515625" style="305" customWidth="1"/>
    <col min="8714" max="8714" width="11" style="305" customWidth="1"/>
    <col min="8715" max="8715" width="11.7109375" style="305" customWidth="1"/>
    <col min="8716" max="8716" width="10.28515625" style="305" customWidth="1"/>
    <col min="8717" max="8717" width="7.7109375" style="305" customWidth="1"/>
    <col min="8718" max="8718" width="22.7109375" style="305" customWidth="1"/>
    <col min="8719" max="8719" width="9.28515625" style="305" customWidth="1"/>
    <col min="8720" max="8720" width="10.7109375" style="305" customWidth="1"/>
    <col min="8721" max="8721" width="8.7109375" style="305" customWidth="1"/>
    <col min="8722" max="8722" width="8" style="305" customWidth="1"/>
    <col min="8723" max="8723" width="8.7109375" style="305" customWidth="1"/>
    <col min="8724" max="8724" width="10.5703125" style="305" customWidth="1"/>
    <col min="8725" max="8725" width="10.140625" style="305" customWidth="1"/>
    <col min="8726" max="8726" width="10.28515625" style="305" customWidth="1"/>
    <col min="8727" max="8727" width="10.85546875" style="305" customWidth="1"/>
    <col min="8728" max="8728" width="10.28515625" style="305" customWidth="1"/>
    <col min="8729" max="8729" width="13.28515625" style="305" customWidth="1"/>
    <col min="8730" max="8730" width="9.7109375" style="305" customWidth="1"/>
    <col min="8731" max="8731" width="9.5703125" style="305" customWidth="1"/>
    <col min="8732" max="8732" width="8.42578125" style="305" customWidth="1"/>
    <col min="8733" max="8733" width="10" style="305" customWidth="1"/>
    <col min="8734" max="8735" width="10.85546875" style="305" customWidth="1"/>
    <col min="8736" max="8736" width="11.5703125" style="305" customWidth="1"/>
    <col min="8737" max="8743" width="10.85546875" style="305" customWidth="1"/>
    <col min="8744" max="8960" width="11.85546875" style="305"/>
    <col min="8961" max="8961" width="34.7109375" style="305" customWidth="1"/>
    <col min="8962" max="8962" width="10" style="305" customWidth="1"/>
    <col min="8963" max="8963" width="8.7109375" style="305" customWidth="1"/>
    <col min="8964" max="8964" width="7.7109375" style="305" customWidth="1"/>
    <col min="8965" max="8965" width="8.7109375" style="305" customWidth="1"/>
    <col min="8966" max="8966" width="9.140625" style="305" customWidth="1"/>
    <col min="8967" max="8967" width="10" style="305" customWidth="1"/>
    <col min="8968" max="8969" width="10.28515625" style="305" customWidth="1"/>
    <col min="8970" max="8970" width="11" style="305" customWidth="1"/>
    <col min="8971" max="8971" width="11.7109375" style="305" customWidth="1"/>
    <col min="8972" max="8972" width="10.28515625" style="305" customWidth="1"/>
    <col min="8973" max="8973" width="7.7109375" style="305" customWidth="1"/>
    <col min="8974" max="8974" width="22.7109375" style="305" customWidth="1"/>
    <col min="8975" max="8975" width="9.28515625" style="305" customWidth="1"/>
    <col min="8976" max="8976" width="10.7109375" style="305" customWidth="1"/>
    <col min="8977" max="8977" width="8.7109375" style="305" customWidth="1"/>
    <col min="8978" max="8978" width="8" style="305" customWidth="1"/>
    <col min="8979" max="8979" width="8.7109375" style="305" customWidth="1"/>
    <col min="8980" max="8980" width="10.5703125" style="305" customWidth="1"/>
    <col min="8981" max="8981" width="10.140625" style="305" customWidth="1"/>
    <col min="8982" max="8982" width="10.28515625" style="305" customWidth="1"/>
    <col min="8983" max="8983" width="10.85546875" style="305" customWidth="1"/>
    <col min="8984" max="8984" width="10.28515625" style="305" customWidth="1"/>
    <col min="8985" max="8985" width="13.28515625" style="305" customWidth="1"/>
    <col min="8986" max="8986" width="9.7109375" style="305" customWidth="1"/>
    <col min="8987" max="8987" width="9.5703125" style="305" customWidth="1"/>
    <col min="8988" max="8988" width="8.42578125" style="305" customWidth="1"/>
    <col min="8989" max="8989" width="10" style="305" customWidth="1"/>
    <col min="8990" max="8991" width="10.85546875" style="305" customWidth="1"/>
    <col min="8992" max="8992" width="11.5703125" style="305" customWidth="1"/>
    <col min="8993" max="8999" width="10.85546875" style="305" customWidth="1"/>
    <col min="9000" max="9216" width="11.85546875" style="305"/>
    <col min="9217" max="9217" width="34.7109375" style="305" customWidth="1"/>
    <col min="9218" max="9218" width="10" style="305" customWidth="1"/>
    <col min="9219" max="9219" width="8.7109375" style="305" customWidth="1"/>
    <col min="9220" max="9220" width="7.7109375" style="305" customWidth="1"/>
    <col min="9221" max="9221" width="8.7109375" style="305" customWidth="1"/>
    <col min="9222" max="9222" width="9.140625" style="305" customWidth="1"/>
    <col min="9223" max="9223" width="10" style="305" customWidth="1"/>
    <col min="9224" max="9225" width="10.28515625" style="305" customWidth="1"/>
    <col min="9226" max="9226" width="11" style="305" customWidth="1"/>
    <col min="9227" max="9227" width="11.7109375" style="305" customWidth="1"/>
    <col min="9228" max="9228" width="10.28515625" style="305" customWidth="1"/>
    <col min="9229" max="9229" width="7.7109375" style="305" customWidth="1"/>
    <col min="9230" max="9230" width="22.7109375" style="305" customWidth="1"/>
    <col min="9231" max="9231" width="9.28515625" style="305" customWidth="1"/>
    <col min="9232" max="9232" width="10.7109375" style="305" customWidth="1"/>
    <col min="9233" max="9233" width="8.7109375" style="305" customWidth="1"/>
    <col min="9234" max="9234" width="8" style="305" customWidth="1"/>
    <col min="9235" max="9235" width="8.7109375" style="305" customWidth="1"/>
    <col min="9236" max="9236" width="10.5703125" style="305" customWidth="1"/>
    <col min="9237" max="9237" width="10.140625" style="305" customWidth="1"/>
    <col min="9238" max="9238" width="10.28515625" style="305" customWidth="1"/>
    <col min="9239" max="9239" width="10.85546875" style="305" customWidth="1"/>
    <col min="9240" max="9240" width="10.28515625" style="305" customWidth="1"/>
    <col min="9241" max="9241" width="13.28515625" style="305" customWidth="1"/>
    <col min="9242" max="9242" width="9.7109375" style="305" customWidth="1"/>
    <col min="9243" max="9243" width="9.5703125" style="305" customWidth="1"/>
    <col min="9244" max="9244" width="8.42578125" style="305" customWidth="1"/>
    <col min="9245" max="9245" width="10" style="305" customWidth="1"/>
    <col min="9246" max="9247" width="10.85546875" style="305" customWidth="1"/>
    <col min="9248" max="9248" width="11.5703125" style="305" customWidth="1"/>
    <col min="9249" max="9255" width="10.85546875" style="305" customWidth="1"/>
    <col min="9256" max="9472" width="11.85546875" style="305"/>
    <col min="9473" max="9473" width="34.7109375" style="305" customWidth="1"/>
    <col min="9474" max="9474" width="10" style="305" customWidth="1"/>
    <col min="9475" max="9475" width="8.7109375" style="305" customWidth="1"/>
    <col min="9476" max="9476" width="7.7109375" style="305" customWidth="1"/>
    <col min="9477" max="9477" width="8.7109375" style="305" customWidth="1"/>
    <col min="9478" max="9478" width="9.140625" style="305" customWidth="1"/>
    <col min="9479" max="9479" width="10" style="305" customWidth="1"/>
    <col min="9480" max="9481" width="10.28515625" style="305" customWidth="1"/>
    <col min="9482" max="9482" width="11" style="305" customWidth="1"/>
    <col min="9483" max="9483" width="11.7109375" style="305" customWidth="1"/>
    <col min="9484" max="9484" width="10.28515625" style="305" customWidth="1"/>
    <col min="9485" max="9485" width="7.7109375" style="305" customWidth="1"/>
    <col min="9486" max="9486" width="22.7109375" style="305" customWidth="1"/>
    <col min="9487" max="9487" width="9.28515625" style="305" customWidth="1"/>
    <col min="9488" max="9488" width="10.7109375" style="305" customWidth="1"/>
    <col min="9489" max="9489" width="8.7109375" style="305" customWidth="1"/>
    <col min="9490" max="9490" width="8" style="305" customWidth="1"/>
    <col min="9491" max="9491" width="8.7109375" style="305" customWidth="1"/>
    <col min="9492" max="9492" width="10.5703125" style="305" customWidth="1"/>
    <col min="9493" max="9493" width="10.140625" style="305" customWidth="1"/>
    <col min="9494" max="9494" width="10.28515625" style="305" customWidth="1"/>
    <col min="9495" max="9495" width="10.85546875" style="305" customWidth="1"/>
    <col min="9496" max="9496" width="10.28515625" style="305" customWidth="1"/>
    <col min="9497" max="9497" width="13.28515625" style="305" customWidth="1"/>
    <col min="9498" max="9498" width="9.7109375" style="305" customWidth="1"/>
    <col min="9499" max="9499" width="9.5703125" style="305" customWidth="1"/>
    <col min="9500" max="9500" width="8.42578125" style="305" customWidth="1"/>
    <col min="9501" max="9501" width="10" style="305" customWidth="1"/>
    <col min="9502" max="9503" width="10.85546875" style="305" customWidth="1"/>
    <col min="9504" max="9504" width="11.5703125" style="305" customWidth="1"/>
    <col min="9505" max="9511" width="10.85546875" style="305" customWidth="1"/>
    <col min="9512" max="9728" width="11.85546875" style="305"/>
    <col min="9729" max="9729" width="34.7109375" style="305" customWidth="1"/>
    <col min="9730" max="9730" width="10" style="305" customWidth="1"/>
    <col min="9731" max="9731" width="8.7109375" style="305" customWidth="1"/>
    <col min="9732" max="9732" width="7.7109375" style="305" customWidth="1"/>
    <col min="9733" max="9733" width="8.7109375" style="305" customWidth="1"/>
    <col min="9734" max="9734" width="9.140625" style="305" customWidth="1"/>
    <col min="9735" max="9735" width="10" style="305" customWidth="1"/>
    <col min="9736" max="9737" width="10.28515625" style="305" customWidth="1"/>
    <col min="9738" max="9738" width="11" style="305" customWidth="1"/>
    <col min="9739" max="9739" width="11.7109375" style="305" customWidth="1"/>
    <col min="9740" max="9740" width="10.28515625" style="305" customWidth="1"/>
    <col min="9741" max="9741" width="7.7109375" style="305" customWidth="1"/>
    <col min="9742" max="9742" width="22.7109375" style="305" customWidth="1"/>
    <col min="9743" max="9743" width="9.28515625" style="305" customWidth="1"/>
    <col min="9744" max="9744" width="10.7109375" style="305" customWidth="1"/>
    <col min="9745" max="9745" width="8.7109375" style="305" customWidth="1"/>
    <col min="9746" max="9746" width="8" style="305" customWidth="1"/>
    <col min="9747" max="9747" width="8.7109375" style="305" customWidth="1"/>
    <col min="9748" max="9748" width="10.5703125" style="305" customWidth="1"/>
    <col min="9749" max="9749" width="10.140625" style="305" customWidth="1"/>
    <col min="9750" max="9750" width="10.28515625" style="305" customWidth="1"/>
    <col min="9751" max="9751" width="10.85546875" style="305" customWidth="1"/>
    <col min="9752" max="9752" width="10.28515625" style="305" customWidth="1"/>
    <col min="9753" max="9753" width="13.28515625" style="305" customWidth="1"/>
    <col min="9754" max="9754" width="9.7109375" style="305" customWidth="1"/>
    <col min="9755" max="9755" width="9.5703125" style="305" customWidth="1"/>
    <col min="9756" max="9756" width="8.42578125" style="305" customWidth="1"/>
    <col min="9757" max="9757" width="10" style="305" customWidth="1"/>
    <col min="9758" max="9759" width="10.85546875" style="305" customWidth="1"/>
    <col min="9760" max="9760" width="11.5703125" style="305" customWidth="1"/>
    <col min="9761" max="9767" width="10.85546875" style="305" customWidth="1"/>
    <col min="9768" max="9984" width="11.85546875" style="305"/>
    <col min="9985" max="9985" width="34.7109375" style="305" customWidth="1"/>
    <col min="9986" max="9986" width="10" style="305" customWidth="1"/>
    <col min="9987" max="9987" width="8.7109375" style="305" customWidth="1"/>
    <col min="9988" max="9988" width="7.7109375" style="305" customWidth="1"/>
    <col min="9989" max="9989" width="8.7109375" style="305" customWidth="1"/>
    <col min="9990" max="9990" width="9.140625" style="305" customWidth="1"/>
    <col min="9991" max="9991" width="10" style="305" customWidth="1"/>
    <col min="9992" max="9993" width="10.28515625" style="305" customWidth="1"/>
    <col min="9994" max="9994" width="11" style="305" customWidth="1"/>
    <col min="9995" max="9995" width="11.7109375" style="305" customWidth="1"/>
    <col min="9996" max="9996" width="10.28515625" style="305" customWidth="1"/>
    <col min="9997" max="9997" width="7.7109375" style="305" customWidth="1"/>
    <col min="9998" max="9998" width="22.7109375" style="305" customWidth="1"/>
    <col min="9999" max="9999" width="9.28515625" style="305" customWidth="1"/>
    <col min="10000" max="10000" width="10.7109375" style="305" customWidth="1"/>
    <col min="10001" max="10001" width="8.7109375" style="305" customWidth="1"/>
    <col min="10002" max="10002" width="8" style="305" customWidth="1"/>
    <col min="10003" max="10003" width="8.7109375" style="305" customWidth="1"/>
    <col min="10004" max="10004" width="10.5703125" style="305" customWidth="1"/>
    <col min="10005" max="10005" width="10.140625" style="305" customWidth="1"/>
    <col min="10006" max="10006" width="10.28515625" style="305" customWidth="1"/>
    <col min="10007" max="10007" width="10.85546875" style="305" customWidth="1"/>
    <col min="10008" max="10008" width="10.28515625" style="305" customWidth="1"/>
    <col min="10009" max="10009" width="13.28515625" style="305" customWidth="1"/>
    <col min="10010" max="10010" width="9.7109375" style="305" customWidth="1"/>
    <col min="10011" max="10011" width="9.5703125" style="305" customWidth="1"/>
    <col min="10012" max="10012" width="8.42578125" style="305" customWidth="1"/>
    <col min="10013" max="10013" width="10" style="305" customWidth="1"/>
    <col min="10014" max="10015" width="10.85546875" style="305" customWidth="1"/>
    <col min="10016" max="10016" width="11.5703125" style="305" customWidth="1"/>
    <col min="10017" max="10023" width="10.85546875" style="305" customWidth="1"/>
    <col min="10024" max="10240" width="11.85546875" style="305"/>
    <col min="10241" max="10241" width="34.7109375" style="305" customWidth="1"/>
    <col min="10242" max="10242" width="10" style="305" customWidth="1"/>
    <col min="10243" max="10243" width="8.7109375" style="305" customWidth="1"/>
    <col min="10244" max="10244" width="7.7109375" style="305" customWidth="1"/>
    <col min="10245" max="10245" width="8.7109375" style="305" customWidth="1"/>
    <col min="10246" max="10246" width="9.140625" style="305" customWidth="1"/>
    <col min="10247" max="10247" width="10" style="305" customWidth="1"/>
    <col min="10248" max="10249" width="10.28515625" style="305" customWidth="1"/>
    <col min="10250" max="10250" width="11" style="305" customWidth="1"/>
    <col min="10251" max="10251" width="11.7109375" style="305" customWidth="1"/>
    <col min="10252" max="10252" width="10.28515625" style="305" customWidth="1"/>
    <col min="10253" max="10253" width="7.7109375" style="305" customWidth="1"/>
    <col min="10254" max="10254" width="22.7109375" style="305" customWidth="1"/>
    <col min="10255" max="10255" width="9.28515625" style="305" customWidth="1"/>
    <col min="10256" max="10256" width="10.7109375" style="305" customWidth="1"/>
    <col min="10257" max="10257" width="8.7109375" style="305" customWidth="1"/>
    <col min="10258" max="10258" width="8" style="305" customWidth="1"/>
    <col min="10259" max="10259" width="8.7109375" style="305" customWidth="1"/>
    <col min="10260" max="10260" width="10.5703125" style="305" customWidth="1"/>
    <col min="10261" max="10261" width="10.140625" style="305" customWidth="1"/>
    <col min="10262" max="10262" width="10.28515625" style="305" customWidth="1"/>
    <col min="10263" max="10263" width="10.85546875" style="305" customWidth="1"/>
    <col min="10264" max="10264" width="10.28515625" style="305" customWidth="1"/>
    <col min="10265" max="10265" width="13.28515625" style="305" customWidth="1"/>
    <col min="10266" max="10266" width="9.7109375" style="305" customWidth="1"/>
    <col min="10267" max="10267" width="9.5703125" style="305" customWidth="1"/>
    <col min="10268" max="10268" width="8.42578125" style="305" customWidth="1"/>
    <col min="10269" max="10269" width="10" style="305" customWidth="1"/>
    <col min="10270" max="10271" width="10.85546875" style="305" customWidth="1"/>
    <col min="10272" max="10272" width="11.5703125" style="305" customWidth="1"/>
    <col min="10273" max="10279" width="10.85546875" style="305" customWidth="1"/>
    <col min="10280" max="10496" width="11.85546875" style="305"/>
    <col min="10497" max="10497" width="34.7109375" style="305" customWidth="1"/>
    <col min="10498" max="10498" width="10" style="305" customWidth="1"/>
    <col min="10499" max="10499" width="8.7109375" style="305" customWidth="1"/>
    <col min="10500" max="10500" width="7.7109375" style="305" customWidth="1"/>
    <col min="10501" max="10501" width="8.7109375" style="305" customWidth="1"/>
    <col min="10502" max="10502" width="9.140625" style="305" customWidth="1"/>
    <col min="10503" max="10503" width="10" style="305" customWidth="1"/>
    <col min="10504" max="10505" width="10.28515625" style="305" customWidth="1"/>
    <col min="10506" max="10506" width="11" style="305" customWidth="1"/>
    <col min="10507" max="10507" width="11.7109375" style="305" customWidth="1"/>
    <col min="10508" max="10508" width="10.28515625" style="305" customWidth="1"/>
    <col min="10509" max="10509" width="7.7109375" style="305" customWidth="1"/>
    <col min="10510" max="10510" width="22.7109375" style="305" customWidth="1"/>
    <col min="10511" max="10511" width="9.28515625" style="305" customWidth="1"/>
    <col min="10512" max="10512" width="10.7109375" style="305" customWidth="1"/>
    <col min="10513" max="10513" width="8.7109375" style="305" customWidth="1"/>
    <col min="10514" max="10514" width="8" style="305" customWidth="1"/>
    <col min="10515" max="10515" width="8.7109375" style="305" customWidth="1"/>
    <col min="10516" max="10516" width="10.5703125" style="305" customWidth="1"/>
    <col min="10517" max="10517" width="10.140625" style="305" customWidth="1"/>
    <col min="10518" max="10518" width="10.28515625" style="305" customWidth="1"/>
    <col min="10519" max="10519" width="10.85546875" style="305" customWidth="1"/>
    <col min="10520" max="10520" width="10.28515625" style="305" customWidth="1"/>
    <col min="10521" max="10521" width="13.28515625" style="305" customWidth="1"/>
    <col min="10522" max="10522" width="9.7109375" style="305" customWidth="1"/>
    <col min="10523" max="10523" width="9.5703125" style="305" customWidth="1"/>
    <col min="10524" max="10524" width="8.42578125" style="305" customWidth="1"/>
    <col min="10525" max="10525" width="10" style="305" customWidth="1"/>
    <col min="10526" max="10527" width="10.85546875" style="305" customWidth="1"/>
    <col min="10528" max="10528" width="11.5703125" style="305" customWidth="1"/>
    <col min="10529" max="10535" width="10.85546875" style="305" customWidth="1"/>
    <col min="10536" max="10752" width="11.85546875" style="305"/>
    <col min="10753" max="10753" width="34.7109375" style="305" customWidth="1"/>
    <col min="10754" max="10754" width="10" style="305" customWidth="1"/>
    <col min="10755" max="10755" width="8.7109375" style="305" customWidth="1"/>
    <col min="10756" max="10756" width="7.7109375" style="305" customWidth="1"/>
    <col min="10757" max="10757" width="8.7109375" style="305" customWidth="1"/>
    <col min="10758" max="10758" width="9.140625" style="305" customWidth="1"/>
    <col min="10759" max="10759" width="10" style="305" customWidth="1"/>
    <col min="10760" max="10761" width="10.28515625" style="305" customWidth="1"/>
    <col min="10762" max="10762" width="11" style="305" customWidth="1"/>
    <col min="10763" max="10763" width="11.7109375" style="305" customWidth="1"/>
    <col min="10764" max="10764" width="10.28515625" style="305" customWidth="1"/>
    <col min="10765" max="10765" width="7.7109375" style="305" customWidth="1"/>
    <col min="10766" max="10766" width="22.7109375" style="305" customWidth="1"/>
    <col min="10767" max="10767" width="9.28515625" style="305" customWidth="1"/>
    <col min="10768" max="10768" width="10.7109375" style="305" customWidth="1"/>
    <col min="10769" max="10769" width="8.7109375" style="305" customWidth="1"/>
    <col min="10770" max="10770" width="8" style="305" customWidth="1"/>
    <col min="10771" max="10771" width="8.7109375" style="305" customWidth="1"/>
    <col min="10772" max="10772" width="10.5703125" style="305" customWidth="1"/>
    <col min="10773" max="10773" width="10.140625" style="305" customWidth="1"/>
    <col min="10774" max="10774" width="10.28515625" style="305" customWidth="1"/>
    <col min="10775" max="10775" width="10.85546875" style="305" customWidth="1"/>
    <col min="10776" max="10776" width="10.28515625" style="305" customWidth="1"/>
    <col min="10777" max="10777" width="13.28515625" style="305" customWidth="1"/>
    <col min="10778" max="10778" width="9.7109375" style="305" customWidth="1"/>
    <col min="10779" max="10779" width="9.5703125" style="305" customWidth="1"/>
    <col min="10780" max="10780" width="8.42578125" style="305" customWidth="1"/>
    <col min="10781" max="10781" width="10" style="305" customWidth="1"/>
    <col min="10782" max="10783" width="10.85546875" style="305" customWidth="1"/>
    <col min="10784" max="10784" width="11.5703125" style="305" customWidth="1"/>
    <col min="10785" max="10791" width="10.85546875" style="305" customWidth="1"/>
    <col min="10792" max="11008" width="11.85546875" style="305"/>
    <col min="11009" max="11009" width="34.7109375" style="305" customWidth="1"/>
    <col min="11010" max="11010" width="10" style="305" customWidth="1"/>
    <col min="11011" max="11011" width="8.7109375" style="305" customWidth="1"/>
    <col min="11012" max="11012" width="7.7109375" style="305" customWidth="1"/>
    <col min="11013" max="11013" width="8.7109375" style="305" customWidth="1"/>
    <col min="11014" max="11014" width="9.140625" style="305" customWidth="1"/>
    <col min="11015" max="11015" width="10" style="305" customWidth="1"/>
    <col min="11016" max="11017" width="10.28515625" style="305" customWidth="1"/>
    <col min="11018" max="11018" width="11" style="305" customWidth="1"/>
    <col min="11019" max="11019" width="11.7109375" style="305" customWidth="1"/>
    <col min="11020" max="11020" width="10.28515625" style="305" customWidth="1"/>
    <col min="11021" max="11021" width="7.7109375" style="305" customWidth="1"/>
    <col min="11022" max="11022" width="22.7109375" style="305" customWidth="1"/>
    <col min="11023" max="11023" width="9.28515625" style="305" customWidth="1"/>
    <col min="11024" max="11024" width="10.7109375" style="305" customWidth="1"/>
    <col min="11025" max="11025" width="8.7109375" style="305" customWidth="1"/>
    <col min="11026" max="11026" width="8" style="305" customWidth="1"/>
    <col min="11027" max="11027" width="8.7109375" style="305" customWidth="1"/>
    <col min="11028" max="11028" width="10.5703125" style="305" customWidth="1"/>
    <col min="11029" max="11029" width="10.140625" style="305" customWidth="1"/>
    <col min="11030" max="11030" width="10.28515625" style="305" customWidth="1"/>
    <col min="11031" max="11031" width="10.85546875" style="305" customWidth="1"/>
    <col min="11032" max="11032" width="10.28515625" style="305" customWidth="1"/>
    <col min="11033" max="11033" width="13.28515625" style="305" customWidth="1"/>
    <col min="11034" max="11034" width="9.7109375" style="305" customWidth="1"/>
    <col min="11035" max="11035" width="9.5703125" style="305" customWidth="1"/>
    <col min="11036" max="11036" width="8.42578125" style="305" customWidth="1"/>
    <col min="11037" max="11037" width="10" style="305" customWidth="1"/>
    <col min="11038" max="11039" width="10.85546875" style="305" customWidth="1"/>
    <col min="11040" max="11040" width="11.5703125" style="305" customWidth="1"/>
    <col min="11041" max="11047" width="10.85546875" style="305" customWidth="1"/>
    <col min="11048" max="11264" width="11.85546875" style="305"/>
    <col min="11265" max="11265" width="34.7109375" style="305" customWidth="1"/>
    <col min="11266" max="11266" width="10" style="305" customWidth="1"/>
    <col min="11267" max="11267" width="8.7109375" style="305" customWidth="1"/>
    <col min="11268" max="11268" width="7.7109375" style="305" customWidth="1"/>
    <col min="11269" max="11269" width="8.7109375" style="305" customWidth="1"/>
    <col min="11270" max="11270" width="9.140625" style="305" customWidth="1"/>
    <col min="11271" max="11271" width="10" style="305" customWidth="1"/>
    <col min="11272" max="11273" width="10.28515625" style="305" customWidth="1"/>
    <col min="11274" max="11274" width="11" style="305" customWidth="1"/>
    <col min="11275" max="11275" width="11.7109375" style="305" customWidth="1"/>
    <col min="11276" max="11276" width="10.28515625" style="305" customWidth="1"/>
    <col min="11277" max="11277" width="7.7109375" style="305" customWidth="1"/>
    <col min="11278" max="11278" width="22.7109375" style="305" customWidth="1"/>
    <col min="11279" max="11279" width="9.28515625" style="305" customWidth="1"/>
    <col min="11280" max="11280" width="10.7109375" style="305" customWidth="1"/>
    <col min="11281" max="11281" width="8.7109375" style="305" customWidth="1"/>
    <col min="11282" max="11282" width="8" style="305" customWidth="1"/>
    <col min="11283" max="11283" width="8.7109375" style="305" customWidth="1"/>
    <col min="11284" max="11284" width="10.5703125" style="305" customWidth="1"/>
    <col min="11285" max="11285" width="10.140625" style="305" customWidth="1"/>
    <col min="11286" max="11286" width="10.28515625" style="305" customWidth="1"/>
    <col min="11287" max="11287" width="10.85546875" style="305" customWidth="1"/>
    <col min="11288" max="11288" width="10.28515625" style="305" customWidth="1"/>
    <col min="11289" max="11289" width="13.28515625" style="305" customWidth="1"/>
    <col min="11290" max="11290" width="9.7109375" style="305" customWidth="1"/>
    <col min="11291" max="11291" width="9.5703125" style="305" customWidth="1"/>
    <col min="11292" max="11292" width="8.42578125" style="305" customWidth="1"/>
    <col min="11293" max="11293" width="10" style="305" customWidth="1"/>
    <col min="11294" max="11295" width="10.85546875" style="305" customWidth="1"/>
    <col min="11296" max="11296" width="11.5703125" style="305" customWidth="1"/>
    <col min="11297" max="11303" width="10.85546875" style="305" customWidth="1"/>
    <col min="11304" max="11520" width="11.85546875" style="305"/>
    <col min="11521" max="11521" width="34.7109375" style="305" customWidth="1"/>
    <col min="11522" max="11522" width="10" style="305" customWidth="1"/>
    <col min="11523" max="11523" width="8.7109375" style="305" customWidth="1"/>
    <col min="11524" max="11524" width="7.7109375" style="305" customWidth="1"/>
    <col min="11525" max="11525" width="8.7109375" style="305" customWidth="1"/>
    <col min="11526" max="11526" width="9.140625" style="305" customWidth="1"/>
    <col min="11527" max="11527" width="10" style="305" customWidth="1"/>
    <col min="11528" max="11529" width="10.28515625" style="305" customWidth="1"/>
    <col min="11530" max="11530" width="11" style="305" customWidth="1"/>
    <col min="11531" max="11531" width="11.7109375" style="305" customWidth="1"/>
    <col min="11532" max="11532" width="10.28515625" style="305" customWidth="1"/>
    <col min="11533" max="11533" width="7.7109375" style="305" customWidth="1"/>
    <col min="11534" max="11534" width="22.7109375" style="305" customWidth="1"/>
    <col min="11535" max="11535" width="9.28515625" style="305" customWidth="1"/>
    <col min="11536" max="11536" width="10.7109375" style="305" customWidth="1"/>
    <col min="11537" max="11537" width="8.7109375" style="305" customWidth="1"/>
    <col min="11538" max="11538" width="8" style="305" customWidth="1"/>
    <col min="11539" max="11539" width="8.7109375" style="305" customWidth="1"/>
    <col min="11540" max="11540" width="10.5703125" style="305" customWidth="1"/>
    <col min="11541" max="11541" width="10.140625" style="305" customWidth="1"/>
    <col min="11542" max="11542" width="10.28515625" style="305" customWidth="1"/>
    <col min="11543" max="11543" width="10.85546875" style="305" customWidth="1"/>
    <col min="11544" max="11544" width="10.28515625" style="305" customWidth="1"/>
    <col min="11545" max="11545" width="13.28515625" style="305" customWidth="1"/>
    <col min="11546" max="11546" width="9.7109375" style="305" customWidth="1"/>
    <col min="11547" max="11547" width="9.5703125" style="305" customWidth="1"/>
    <col min="11548" max="11548" width="8.42578125" style="305" customWidth="1"/>
    <col min="11549" max="11549" width="10" style="305" customWidth="1"/>
    <col min="11550" max="11551" width="10.85546875" style="305" customWidth="1"/>
    <col min="11552" max="11552" width="11.5703125" style="305" customWidth="1"/>
    <col min="11553" max="11559" width="10.85546875" style="305" customWidth="1"/>
    <col min="11560" max="11776" width="11.85546875" style="305"/>
    <col min="11777" max="11777" width="34.7109375" style="305" customWidth="1"/>
    <col min="11778" max="11778" width="10" style="305" customWidth="1"/>
    <col min="11779" max="11779" width="8.7109375" style="305" customWidth="1"/>
    <col min="11780" max="11780" width="7.7109375" style="305" customWidth="1"/>
    <col min="11781" max="11781" width="8.7109375" style="305" customWidth="1"/>
    <col min="11782" max="11782" width="9.140625" style="305" customWidth="1"/>
    <col min="11783" max="11783" width="10" style="305" customWidth="1"/>
    <col min="11784" max="11785" width="10.28515625" style="305" customWidth="1"/>
    <col min="11786" max="11786" width="11" style="305" customWidth="1"/>
    <col min="11787" max="11787" width="11.7109375" style="305" customWidth="1"/>
    <col min="11788" max="11788" width="10.28515625" style="305" customWidth="1"/>
    <col min="11789" max="11789" width="7.7109375" style="305" customWidth="1"/>
    <col min="11790" max="11790" width="22.7109375" style="305" customWidth="1"/>
    <col min="11791" max="11791" width="9.28515625" style="305" customWidth="1"/>
    <col min="11792" max="11792" width="10.7109375" style="305" customWidth="1"/>
    <col min="11793" max="11793" width="8.7109375" style="305" customWidth="1"/>
    <col min="11794" max="11794" width="8" style="305" customWidth="1"/>
    <col min="11795" max="11795" width="8.7109375" style="305" customWidth="1"/>
    <col min="11796" max="11796" width="10.5703125" style="305" customWidth="1"/>
    <col min="11797" max="11797" width="10.140625" style="305" customWidth="1"/>
    <col min="11798" max="11798" width="10.28515625" style="305" customWidth="1"/>
    <col min="11799" max="11799" width="10.85546875" style="305" customWidth="1"/>
    <col min="11800" max="11800" width="10.28515625" style="305" customWidth="1"/>
    <col min="11801" max="11801" width="13.28515625" style="305" customWidth="1"/>
    <col min="11802" max="11802" width="9.7109375" style="305" customWidth="1"/>
    <col min="11803" max="11803" width="9.5703125" style="305" customWidth="1"/>
    <col min="11804" max="11804" width="8.42578125" style="305" customWidth="1"/>
    <col min="11805" max="11805" width="10" style="305" customWidth="1"/>
    <col min="11806" max="11807" width="10.85546875" style="305" customWidth="1"/>
    <col min="11808" max="11808" width="11.5703125" style="305" customWidth="1"/>
    <col min="11809" max="11815" width="10.85546875" style="305" customWidth="1"/>
    <col min="11816" max="12032" width="11.85546875" style="305"/>
    <col min="12033" max="12033" width="34.7109375" style="305" customWidth="1"/>
    <col min="12034" max="12034" width="10" style="305" customWidth="1"/>
    <col min="12035" max="12035" width="8.7109375" style="305" customWidth="1"/>
    <col min="12036" max="12036" width="7.7109375" style="305" customWidth="1"/>
    <col min="12037" max="12037" width="8.7109375" style="305" customWidth="1"/>
    <col min="12038" max="12038" width="9.140625" style="305" customWidth="1"/>
    <col min="12039" max="12039" width="10" style="305" customWidth="1"/>
    <col min="12040" max="12041" width="10.28515625" style="305" customWidth="1"/>
    <col min="12042" max="12042" width="11" style="305" customWidth="1"/>
    <col min="12043" max="12043" width="11.7109375" style="305" customWidth="1"/>
    <col min="12044" max="12044" width="10.28515625" style="305" customWidth="1"/>
    <col min="12045" max="12045" width="7.7109375" style="305" customWidth="1"/>
    <col min="12046" max="12046" width="22.7109375" style="305" customWidth="1"/>
    <col min="12047" max="12047" width="9.28515625" style="305" customWidth="1"/>
    <col min="12048" max="12048" width="10.7109375" style="305" customWidth="1"/>
    <col min="12049" max="12049" width="8.7109375" style="305" customWidth="1"/>
    <col min="12050" max="12050" width="8" style="305" customWidth="1"/>
    <col min="12051" max="12051" width="8.7109375" style="305" customWidth="1"/>
    <col min="12052" max="12052" width="10.5703125" style="305" customWidth="1"/>
    <col min="12053" max="12053" width="10.140625" style="305" customWidth="1"/>
    <col min="12054" max="12054" width="10.28515625" style="305" customWidth="1"/>
    <col min="12055" max="12055" width="10.85546875" style="305" customWidth="1"/>
    <col min="12056" max="12056" width="10.28515625" style="305" customWidth="1"/>
    <col min="12057" max="12057" width="13.28515625" style="305" customWidth="1"/>
    <col min="12058" max="12058" width="9.7109375" style="305" customWidth="1"/>
    <col min="12059" max="12059" width="9.5703125" style="305" customWidth="1"/>
    <col min="12060" max="12060" width="8.42578125" style="305" customWidth="1"/>
    <col min="12061" max="12061" width="10" style="305" customWidth="1"/>
    <col min="12062" max="12063" width="10.85546875" style="305" customWidth="1"/>
    <col min="12064" max="12064" width="11.5703125" style="305" customWidth="1"/>
    <col min="12065" max="12071" width="10.85546875" style="305" customWidth="1"/>
    <col min="12072" max="12288" width="11.85546875" style="305"/>
    <col min="12289" max="12289" width="34.7109375" style="305" customWidth="1"/>
    <col min="12290" max="12290" width="10" style="305" customWidth="1"/>
    <col min="12291" max="12291" width="8.7109375" style="305" customWidth="1"/>
    <col min="12292" max="12292" width="7.7109375" style="305" customWidth="1"/>
    <col min="12293" max="12293" width="8.7109375" style="305" customWidth="1"/>
    <col min="12294" max="12294" width="9.140625" style="305" customWidth="1"/>
    <col min="12295" max="12295" width="10" style="305" customWidth="1"/>
    <col min="12296" max="12297" width="10.28515625" style="305" customWidth="1"/>
    <col min="12298" max="12298" width="11" style="305" customWidth="1"/>
    <col min="12299" max="12299" width="11.7109375" style="305" customWidth="1"/>
    <col min="12300" max="12300" width="10.28515625" style="305" customWidth="1"/>
    <col min="12301" max="12301" width="7.7109375" style="305" customWidth="1"/>
    <col min="12302" max="12302" width="22.7109375" style="305" customWidth="1"/>
    <col min="12303" max="12303" width="9.28515625" style="305" customWidth="1"/>
    <col min="12304" max="12304" width="10.7109375" style="305" customWidth="1"/>
    <col min="12305" max="12305" width="8.7109375" style="305" customWidth="1"/>
    <col min="12306" max="12306" width="8" style="305" customWidth="1"/>
    <col min="12307" max="12307" width="8.7109375" style="305" customWidth="1"/>
    <col min="12308" max="12308" width="10.5703125" style="305" customWidth="1"/>
    <col min="12309" max="12309" width="10.140625" style="305" customWidth="1"/>
    <col min="12310" max="12310" width="10.28515625" style="305" customWidth="1"/>
    <col min="12311" max="12311" width="10.85546875" style="305" customWidth="1"/>
    <col min="12312" max="12312" width="10.28515625" style="305" customWidth="1"/>
    <col min="12313" max="12313" width="13.28515625" style="305" customWidth="1"/>
    <col min="12314" max="12314" width="9.7109375" style="305" customWidth="1"/>
    <col min="12315" max="12315" width="9.5703125" style="305" customWidth="1"/>
    <col min="12316" max="12316" width="8.42578125" style="305" customWidth="1"/>
    <col min="12317" max="12317" width="10" style="305" customWidth="1"/>
    <col min="12318" max="12319" width="10.85546875" style="305" customWidth="1"/>
    <col min="12320" max="12320" width="11.5703125" style="305" customWidth="1"/>
    <col min="12321" max="12327" width="10.85546875" style="305" customWidth="1"/>
    <col min="12328" max="12544" width="11.85546875" style="305"/>
    <col min="12545" max="12545" width="34.7109375" style="305" customWidth="1"/>
    <col min="12546" max="12546" width="10" style="305" customWidth="1"/>
    <col min="12547" max="12547" width="8.7109375" style="305" customWidth="1"/>
    <col min="12548" max="12548" width="7.7109375" style="305" customWidth="1"/>
    <col min="12549" max="12549" width="8.7109375" style="305" customWidth="1"/>
    <col min="12550" max="12550" width="9.140625" style="305" customWidth="1"/>
    <col min="12551" max="12551" width="10" style="305" customWidth="1"/>
    <col min="12552" max="12553" width="10.28515625" style="305" customWidth="1"/>
    <col min="12554" max="12554" width="11" style="305" customWidth="1"/>
    <col min="12555" max="12555" width="11.7109375" style="305" customWidth="1"/>
    <col min="12556" max="12556" width="10.28515625" style="305" customWidth="1"/>
    <col min="12557" max="12557" width="7.7109375" style="305" customWidth="1"/>
    <col min="12558" max="12558" width="22.7109375" style="305" customWidth="1"/>
    <col min="12559" max="12559" width="9.28515625" style="305" customWidth="1"/>
    <col min="12560" max="12560" width="10.7109375" style="305" customWidth="1"/>
    <col min="12561" max="12561" width="8.7109375" style="305" customWidth="1"/>
    <col min="12562" max="12562" width="8" style="305" customWidth="1"/>
    <col min="12563" max="12563" width="8.7109375" style="305" customWidth="1"/>
    <col min="12564" max="12564" width="10.5703125" style="305" customWidth="1"/>
    <col min="12565" max="12565" width="10.140625" style="305" customWidth="1"/>
    <col min="12566" max="12566" width="10.28515625" style="305" customWidth="1"/>
    <col min="12567" max="12567" width="10.85546875" style="305" customWidth="1"/>
    <col min="12568" max="12568" width="10.28515625" style="305" customWidth="1"/>
    <col min="12569" max="12569" width="13.28515625" style="305" customWidth="1"/>
    <col min="12570" max="12570" width="9.7109375" style="305" customWidth="1"/>
    <col min="12571" max="12571" width="9.5703125" style="305" customWidth="1"/>
    <col min="12572" max="12572" width="8.42578125" style="305" customWidth="1"/>
    <col min="12573" max="12573" width="10" style="305" customWidth="1"/>
    <col min="12574" max="12575" width="10.85546875" style="305" customWidth="1"/>
    <col min="12576" max="12576" width="11.5703125" style="305" customWidth="1"/>
    <col min="12577" max="12583" width="10.85546875" style="305" customWidth="1"/>
    <col min="12584" max="12800" width="11.85546875" style="305"/>
    <col min="12801" max="12801" width="34.7109375" style="305" customWidth="1"/>
    <col min="12802" max="12802" width="10" style="305" customWidth="1"/>
    <col min="12803" max="12803" width="8.7109375" style="305" customWidth="1"/>
    <col min="12804" max="12804" width="7.7109375" style="305" customWidth="1"/>
    <col min="12805" max="12805" width="8.7109375" style="305" customWidth="1"/>
    <col min="12806" max="12806" width="9.140625" style="305" customWidth="1"/>
    <col min="12807" max="12807" width="10" style="305" customWidth="1"/>
    <col min="12808" max="12809" width="10.28515625" style="305" customWidth="1"/>
    <col min="12810" max="12810" width="11" style="305" customWidth="1"/>
    <col min="12811" max="12811" width="11.7109375" style="305" customWidth="1"/>
    <col min="12812" max="12812" width="10.28515625" style="305" customWidth="1"/>
    <col min="12813" max="12813" width="7.7109375" style="305" customWidth="1"/>
    <col min="12814" max="12814" width="22.7109375" style="305" customWidth="1"/>
    <col min="12815" max="12815" width="9.28515625" style="305" customWidth="1"/>
    <col min="12816" max="12816" width="10.7109375" style="305" customWidth="1"/>
    <col min="12817" max="12817" width="8.7109375" style="305" customWidth="1"/>
    <col min="12818" max="12818" width="8" style="305" customWidth="1"/>
    <col min="12819" max="12819" width="8.7109375" style="305" customWidth="1"/>
    <col min="12820" max="12820" width="10.5703125" style="305" customWidth="1"/>
    <col min="12821" max="12821" width="10.140625" style="305" customWidth="1"/>
    <col min="12822" max="12822" width="10.28515625" style="305" customWidth="1"/>
    <col min="12823" max="12823" width="10.85546875" style="305" customWidth="1"/>
    <col min="12824" max="12824" width="10.28515625" style="305" customWidth="1"/>
    <col min="12825" max="12825" width="13.28515625" style="305" customWidth="1"/>
    <col min="12826" max="12826" width="9.7109375" style="305" customWidth="1"/>
    <col min="12827" max="12827" width="9.5703125" style="305" customWidth="1"/>
    <col min="12828" max="12828" width="8.42578125" style="305" customWidth="1"/>
    <col min="12829" max="12829" width="10" style="305" customWidth="1"/>
    <col min="12830" max="12831" width="10.85546875" style="305" customWidth="1"/>
    <col min="12832" max="12832" width="11.5703125" style="305" customWidth="1"/>
    <col min="12833" max="12839" width="10.85546875" style="305" customWidth="1"/>
    <col min="12840" max="13056" width="11.85546875" style="305"/>
    <col min="13057" max="13057" width="34.7109375" style="305" customWidth="1"/>
    <col min="13058" max="13058" width="10" style="305" customWidth="1"/>
    <col min="13059" max="13059" width="8.7109375" style="305" customWidth="1"/>
    <col min="13060" max="13060" width="7.7109375" style="305" customWidth="1"/>
    <col min="13061" max="13061" width="8.7109375" style="305" customWidth="1"/>
    <col min="13062" max="13062" width="9.140625" style="305" customWidth="1"/>
    <col min="13063" max="13063" width="10" style="305" customWidth="1"/>
    <col min="13064" max="13065" width="10.28515625" style="305" customWidth="1"/>
    <col min="13066" max="13066" width="11" style="305" customWidth="1"/>
    <col min="13067" max="13067" width="11.7109375" style="305" customWidth="1"/>
    <col min="13068" max="13068" width="10.28515625" style="305" customWidth="1"/>
    <col min="13069" max="13069" width="7.7109375" style="305" customWidth="1"/>
    <col min="13070" max="13070" width="22.7109375" style="305" customWidth="1"/>
    <col min="13071" max="13071" width="9.28515625" style="305" customWidth="1"/>
    <col min="13072" max="13072" width="10.7109375" style="305" customWidth="1"/>
    <col min="13073" max="13073" width="8.7109375" style="305" customWidth="1"/>
    <col min="13074" max="13074" width="8" style="305" customWidth="1"/>
    <col min="13075" max="13075" width="8.7109375" style="305" customWidth="1"/>
    <col min="13076" max="13076" width="10.5703125" style="305" customWidth="1"/>
    <col min="13077" max="13077" width="10.140625" style="305" customWidth="1"/>
    <col min="13078" max="13078" width="10.28515625" style="305" customWidth="1"/>
    <col min="13079" max="13079" width="10.85546875" style="305" customWidth="1"/>
    <col min="13080" max="13080" width="10.28515625" style="305" customWidth="1"/>
    <col min="13081" max="13081" width="13.28515625" style="305" customWidth="1"/>
    <col min="13082" max="13082" width="9.7109375" style="305" customWidth="1"/>
    <col min="13083" max="13083" width="9.5703125" style="305" customWidth="1"/>
    <col min="13084" max="13084" width="8.42578125" style="305" customWidth="1"/>
    <col min="13085" max="13085" width="10" style="305" customWidth="1"/>
    <col min="13086" max="13087" width="10.85546875" style="305" customWidth="1"/>
    <col min="13088" max="13088" width="11.5703125" style="305" customWidth="1"/>
    <col min="13089" max="13095" width="10.85546875" style="305" customWidth="1"/>
    <col min="13096" max="13312" width="11.85546875" style="305"/>
    <col min="13313" max="13313" width="34.7109375" style="305" customWidth="1"/>
    <col min="13314" max="13314" width="10" style="305" customWidth="1"/>
    <col min="13315" max="13315" width="8.7109375" style="305" customWidth="1"/>
    <col min="13316" max="13316" width="7.7109375" style="305" customWidth="1"/>
    <col min="13317" max="13317" width="8.7109375" style="305" customWidth="1"/>
    <col min="13318" max="13318" width="9.140625" style="305" customWidth="1"/>
    <col min="13319" max="13319" width="10" style="305" customWidth="1"/>
    <col min="13320" max="13321" width="10.28515625" style="305" customWidth="1"/>
    <col min="13322" max="13322" width="11" style="305" customWidth="1"/>
    <col min="13323" max="13323" width="11.7109375" style="305" customWidth="1"/>
    <col min="13324" max="13324" width="10.28515625" style="305" customWidth="1"/>
    <col min="13325" max="13325" width="7.7109375" style="305" customWidth="1"/>
    <col min="13326" max="13326" width="22.7109375" style="305" customWidth="1"/>
    <col min="13327" max="13327" width="9.28515625" style="305" customWidth="1"/>
    <col min="13328" max="13328" width="10.7109375" style="305" customWidth="1"/>
    <col min="13329" max="13329" width="8.7109375" style="305" customWidth="1"/>
    <col min="13330" max="13330" width="8" style="305" customWidth="1"/>
    <col min="13331" max="13331" width="8.7109375" style="305" customWidth="1"/>
    <col min="13332" max="13332" width="10.5703125" style="305" customWidth="1"/>
    <col min="13333" max="13333" width="10.140625" style="305" customWidth="1"/>
    <col min="13334" max="13334" width="10.28515625" style="305" customWidth="1"/>
    <col min="13335" max="13335" width="10.85546875" style="305" customWidth="1"/>
    <col min="13336" max="13336" width="10.28515625" style="305" customWidth="1"/>
    <col min="13337" max="13337" width="13.28515625" style="305" customWidth="1"/>
    <col min="13338" max="13338" width="9.7109375" style="305" customWidth="1"/>
    <col min="13339" max="13339" width="9.5703125" style="305" customWidth="1"/>
    <col min="13340" max="13340" width="8.42578125" style="305" customWidth="1"/>
    <col min="13341" max="13341" width="10" style="305" customWidth="1"/>
    <col min="13342" max="13343" width="10.85546875" style="305" customWidth="1"/>
    <col min="13344" max="13344" width="11.5703125" style="305" customWidth="1"/>
    <col min="13345" max="13351" width="10.85546875" style="305" customWidth="1"/>
    <col min="13352" max="13568" width="11.85546875" style="305"/>
    <col min="13569" max="13569" width="34.7109375" style="305" customWidth="1"/>
    <col min="13570" max="13570" width="10" style="305" customWidth="1"/>
    <col min="13571" max="13571" width="8.7109375" style="305" customWidth="1"/>
    <col min="13572" max="13572" width="7.7109375" style="305" customWidth="1"/>
    <col min="13573" max="13573" width="8.7109375" style="305" customWidth="1"/>
    <col min="13574" max="13574" width="9.140625" style="305" customWidth="1"/>
    <col min="13575" max="13575" width="10" style="305" customWidth="1"/>
    <col min="13576" max="13577" width="10.28515625" style="305" customWidth="1"/>
    <col min="13578" max="13578" width="11" style="305" customWidth="1"/>
    <col min="13579" max="13579" width="11.7109375" style="305" customWidth="1"/>
    <col min="13580" max="13580" width="10.28515625" style="305" customWidth="1"/>
    <col min="13581" max="13581" width="7.7109375" style="305" customWidth="1"/>
    <col min="13582" max="13582" width="22.7109375" style="305" customWidth="1"/>
    <col min="13583" max="13583" width="9.28515625" style="305" customWidth="1"/>
    <col min="13584" max="13584" width="10.7109375" style="305" customWidth="1"/>
    <col min="13585" max="13585" width="8.7109375" style="305" customWidth="1"/>
    <col min="13586" max="13586" width="8" style="305" customWidth="1"/>
    <col min="13587" max="13587" width="8.7109375" style="305" customWidth="1"/>
    <col min="13588" max="13588" width="10.5703125" style="305" customWidth="1"/>
    <col min="13589" max="13589" width="10.140625" style="305" customWidth="1"/>
    <col min="13590" max="13590" width="10.28515625" style="305" customWidth="1"/>
    <col min="13591" max="13591" width="10.85546875" style="305" customWidth="1"/>
    <col min="13592" max="13592" width="10.28515625" style="305" customWidth="1"/>
    <col min="13593" max="13593" width="13.28515625" style="305" customWidth="1"/>
    <col min="13594" max="13594" width="9.7109375" style="305" customWidth="1"/>
    <col min="13595" max="13595" width="9.5703125" style="305" customWidth="1"/>
    <col min="13596" max="13596" width="8.42578125" style="305" customWidth="1"/>
    <col min="13597" max="13597" width="10" style="305" customWidth="1"/>
    <col min="13598" max="13599" width="10.85546875" style="305" customWidth="1"/>
    <col min="13600" max="13600" width="11.5703125" style="305" customWidth="1"/>
    <col min="13601" max="13607" width="10.85546875" style="305" customWidth="1"/>
    <col min="13608" max="13824" width="11.85546875" style="305"/>
    <col min="13825" max="13825" width="34.7109375" style="305" customWidth="1"/>
    <col min="13826" max="13826" width="10" style="305" customWidth="1"/>
    <col min="13827" max="13827" width="8.7109375" style="305" customWidth="1"/>
    <col min="13828" max="13828" width="7.7109375" style="305" customWidth="1"/>
    <col min="13829" max="13829" width="8.7109375" style="305" customWidth="1"/>
    <col min="13830" max="13830" width="9.140625" style="305" customWidth="1"/>
    <col min="13831" max="13831" width="10" style="305" customWidth="1"/>
    <col min="13832" max="13833" width="10.28515625" style="305" customWidth="1"/>
    <col min="13834" max="13834" width="11" style="305" customWidth="1"/>
    <col min="13835" max="13835" width="11.7109375" style="305" customWidth="1"/>
    <col min="13836" max="13836" width="10.28515625" style="305" customWidth="1"/>
    <col min="13837" max="13837" width="7.7109375" style="305" customWidth="1"/>
    <col min="13838" max="13838" width="22.7109375" style="305" customWidth="1"/>
    <col min="13839" max="13839" width="9.28515625" style="305" customWidth="1"/>
    <col min="13840" max="13840" width="10.7109375" style="305" customWidth="1"/>
    <col min="13841" max="13841" width="8.7109375" style="305" customWidth="1"/>
    <col min="13842" max="13842" width="8" style="305" customWidth="1"/>
    <col min="13843" max="13843" width="8.7109375" style="305" customWidth="1"/>
    <col min="13844" max="13844" width="10.5703125" style="305" customWidth="1"/>
    <col min="13845" max="13845" width="10.140625" style="305" customWidth="1"/>
    <col min="13846" max="13846" width="10.28515625" style="305" customWidth="1"/>
    <col min="13847" max="13847" width="10.85546875" style="305" customWidth="1"/>
    <col min="13848" max="13848" width="10.28515625" style="305" customWidth="1"/>
    <col min="13849" max="13849" width="13.28515625" style="305" customWidth="1"/>
    <col min="13850" max="13850" width="9.7109375" style="305" customWidth="1"/>
    <col min="13851" max="13851" width="9.5703125" style="305" customWidth="1"/>
    <col min="13852" max="13852" width="8.42578125" style="305" customWidth="1"/>
    <col min="13853" max="13853" width="10" style="305" customWidth="1"/>
    <col min="13854" max="13855" width="10.85546875" style="305" customWidth="1"/>
    <col min="13856" max="13856" width="11.5703125" style="305" customWidth="1"/>
    <col min="13857" max="13863" width="10.85546875" style="305" customWidth="1"/>
    <col min="13864" max="14080" width="11.85546875" style="305"/>
    <col min="14081" max="14081" width="34.7109375" style="305" customWidth="1"/>
    <col min="14082" max="14082" width="10" style="305" customWidth="1"/>
    <col min="14083" max="14083" width="8.7109375" style="305" customWidth="1"/>
    <col min="14084" max="14084" width="7.7109375" style="305" customWidth="1"/>
    <col min="14085" max="14085" width="8.7109375" style="305" customWidth="1"/>
    <col min="14086" max="14086" width="9.140625" style="305" customWidth="1"/>
    <col min="14087" max="14087" width="10" style="305" customWidth="1"/>
    <col min="14088" max="14089" width="10.28515625" style="305" customWidth="1"/>
    <col min="14090" max="14090" width="11" style="305" customWidth="1"/>
    <col min="14091" max="14091" width="11.7109375" style="305" customWidth="1"/>
    <col min="14092" max="14092" width="10.28515625" style="305" customWidth="1"/>
    <col min="14093" max="14093" width="7.7109375" style="305" customWidth="1"/>
    <col min="14094" max="14094" width="22.7109375" style="305" customWidth="1"/>
    <col min="14095" max="14095" width="9.28515625" style="305" customWidth="1"/>
    <col min="14096" max="14096" width="10.7109375" style="305" customWidth="1"/>
    <col min="14097" max="14097" width="8.7109375" style="305" customWidth="1"/>
    <col min="14098" max="14098" width="8" style="305" customWidth="1"/>
    <col min="14099" max="14099" width="8.7109375" style="305" customWidth="1"/>
    <col min="14100" max="14100" width="10.5703125" style="305" customWidth="1"/>
    <col min="14101" max="14101" width="10.140625" style="305" customWidth="1"/>
    <col min="14102" max="14102" width="10.28515625" style="305" customWidth="1"/>
    <col min="14103" max="14103" width="10.85546875" style="305" customWidth="1"/>
    <col min="14104" max="14104" width="10.28515625" style="305" customWidth="1"/>
    <col min="14105" max="14105" width="13.28515625" style="305" customWidth="1"/>
    <col min="14106" max="14106" width="9.7109375" style="305" customWidth="1"/>
    <col min="14107" max="14107" width="9.5703125" style="305" customWidth="1"/>
    <col min="14108" max="14108" width="8.42578125" style="305" customWidth="1"/>
    <col min="14109" max="14109" width="10" style="305" customWidth="1"/>
    <col min="14110" max="14111" width="10.85546875" style="305" customWidth="1"/>
    <col min="14112" max="14112" width="11.5703125" style="305" customWidth="1"/>
    <col min="14113" max="14119" width="10.85546875" style="305" customWidth="1"/>
    <col min="14120" max="14336" width="11.85546875" style="305"/>
    <col min="14337" max="14337" width="34.7109375" style="305" customWidth="1"/>
    <col min="14338" max="14338" width="10" style="305" customWidth="1"/>
    <col min="14339" max="14339" width="8.7109375" style="305" customWidth="1"/>
    <col min="14340" max="14340" width="7.7109375" style="305" customWidth="1"/>
    <col min="14341" max="14341" width="8.7109375" style="305" customWidth="1"/>
    <col min="14342" max="14342" width="9.140625" style="305" customWidth="1"/>
    <col min="14343" max="14343" width="10" style="305" customWidth="1"/>
    <col min="14344" max="14345" width="10.28515625" style="305" customWidth="1"/>
    <col min="14346" max="14346" width="11" style="305" customWidth="1"/>
    <col min="14347" max="14347" width="11.7109375" style="305" customWidth="1"/>
    <col min="14348" max="14348" width="10.28515625" style="305" customWidth="1"/>
    <col min="14349" max="14349" width="7.7109375" style="305" customWidth="1"/>
    <col min="14350" max="14350" width="22.7109375" style="305" customWidth="1"/>
    <col min="14351" max="14351" width="9.28515625" style="305" customWidth="1"/>
    <col min="14352" max="14352" width="10.7109375" style="305" customWidth="1"/>
    <col min="14353" max="14353" width="8.7109375" style="305" customWidth="1"/>
    <col min="14354" max="14354" width="8" style="305" customWidth="1"/>
    <col min="14355" max="14355" width="8.7109375" style="305" customWidth="1"/>
    <col min="14356" max="14356" width="10.5703125" style="305" customWidth="1"/>
    <col min="14357" max="14357" width="10.140625" style="305" customWidth="1"/>
    <col min="14358" max="14358" width="10.28515625" style="305" customWidth="1"/>
    <col min="14359" max="14359" width="10.85546875" style="305" customWidth="1"/>
    <col min="14360" max="14360" width="10.28515625" style="305" customWidth="1"/>
    <col min="14361" max="14361" width="13.28515625" style="305" customWidth="1"/>
    <col min="14362" max="14362" width="9.7109375" style="305" customWidth="1"/>
    <col min="14363" max="14363" width="9.5703125" style="305" customWidth="1"/>
    <col min="14364" max="14364" width="8.42578125" style="305" customWidth="1"/>
    <col min="14365" max="14365" width="10" style="305" customWidth="1"/>
    <col min="14366" max="14367" width="10.85546875" style="305" customWidth="1"/>
    <col min="14368" max="14368" width="11.5703125" style="305" customWidth="1"/>
    <col min="14369" max="14375" width="10.85546875" style="305" customWidth="1"/>
    <col min="14376" max="14592" width="11.85546875" style="305"/>
    <col min="14593" max="14593" width="34.7109375" style="305" customWidth="1"/>
    <col min="14594" max="14594" width="10" style="305" customWidth="1"/>
    <col min="14595" max="14595" width="8.7109375" style="305" customWidth="1"/>
    <col min="14596" max="14596" width="7.7109375" style="305" customWidth="1"/>
    <col min="14597" max="14597" width="8.7109375" style="305" customWidth="1"/>
    <col min="14598" max="14598" width="9.140625" style="305" customWidth="1"/>
    <col min="14599" max="14599" width="10" style="305" customWidth="1"/>
    <col min="14600" max="14601" width="10.28515625" style="305" customWidth="1"/>
    <col min="14602" max="14602" width="11" style="305" customWidth="1"/>
    <col min="14603" max="14603" width="11.7109375" style="305" customWidth="1"/>
    <col min="14604" max="14604" width="10.28515625" style="305" customWidth="1"/>
    <col min="14605" max="14605" width="7.7109375" style="305" customWidth="1"/>
    <col min="14606" max="14606" width="22.7109375" style="305" customWidth="1"/>
    <col min="14607" max="14607" width="9.28515625" style="305" customWidth="1"/>
    <col min="14608" max="14608" width="10.7109375" style="305" customWidth="1"/>
    <col min="14609" max="14609" width="8.7109375" style="305" customWidth="1"/>
    <col min="14610" max="14610" width="8" style="305" customWidth="1"/>
    <col min="14611" max="14611" width="8.7109375" style="305" customWidth="1"/>
    <col min="14612" max="14612" width="10.5703125" style="305" customWidth="1"/>
    <col min="14613" max="14613" width="10.140625" style="305" customWidth="1"/>
    <col min="14614" max="14614" width="10.28515625" style="305" customWidth="1"/>
    <col min="14615" max="14615" width="10.85546875" style="305" customWidth="1"/>
    <col min="14616" max="14616" width="10.28515625" style="305" customWidth="1"/>
    <col min="14617" max="14617" width="13.28515625" style="305" customWidth="1"/>
    <col min="14618" max="14618" width="9.7109375" style="305" customWidth="1"/>
    <col min="14619" max="14619" width="9.5703125" style="305" customWidth="1"/>
    <col min="14620" max="14620" width="8.42578125" style="305" customWidth="1"/>
    <col min="14621" max="14621" width="10" style="305" customWidth="1"/>
    <col min="14622" max="14623" width="10.85546875" style="305" customWidth="1"/>
    <col min="14624" max="14624" width="11.5703125" style="305" customWidth="1"/>
    <col min="14625" max="14631" width="10.85546875" style="305" customWidth="1"/>
    <col min="14632" max="14848" width="11.85546875" style="305"/>
    <col min="14849" max="14849" width="34.7109375" style="305" customWidth="1"/>
    <col min="14850" max="14850" width="10" style="305" customWidth="1"/>
    <col min="14851" max="14851" width="8.7109375" style="305" customWidth="1"/>
    <col min="14852" max="14852" width="7.7109375" style="305" customWidth="1"/>
    <col min="14853" max="14853" width="8.7109375" style="305" customWidth="1"/>
    <col min="14854" max="14854" width="9.140625" style="305" customWidth="1"/>
    <col min="14855" max="14855" width="10" style="305" customWidth="1"/>
    <col min="14856" max="14857" width="10.28515625" style="305" customWidth="1"/>
    <col min="14858" max="14858" width="11" style="305" customWidth="1"/>
    <col min="14859" max="14859" width="11.7109375" style="305" customWidth="1"/>
    <col min="14860" max="14860" width="10.28515625" style="305" customWidth="1"/>
    <col min="14861" max="14861" width="7.7109375" style="305" customWidth="1"/>
    <col min="14862" max="14862" width="22.7109375" style="305" customWidth="1"/>
    <col min="14863" max="14863" width="9.28515625" style="305" customWidth="1"/>
    <col min="14864" max="14864" width="10.7109375" style="305" customWidth="1"/>
    <col min="14865" max="14865" width="8.7109375" style="305" customWidth="1"/>
    <col min="14866" max="14866" width="8" style="305" customWidth="1"/>
    <col min="14867" max="14867" width="8.7109375" style="305" customWidth="1"/>
    <col min="14868" max="14868" width="10.5703125" style="305" customWidth="1"/>
    <col min="14869" max="14869" width="10.140625" style="305" customWidth="1"/>
    <col min="14870" max="14870" width="10.28515625" style="305" customWidth="1"/>
    <col min="14871" max="14871" width="10.85546875" style="305" customWidth="1"/>
    <col min="14872" max="14872" width="10.28515625" style="305" customWidth="1"/>
    <col min="14873" max="14873" width="13.28515625" style="305" customWidth="1"/>
    <col min="14874" max="14874" width="9.7109375" style="305" customWidth="1"/>
    <col min="14875" max="14875" width="9.5703125" style="305" customWidth="1"/>
    <col min="14876" max="14876" width="8.42578125" style="305" customWidth="1"/>
    <col min="14877" max="14877" width="10" style="305" customWidth="1"/>
    <col min="14878" max="14879" width="10.85546875" style="305" customWidth="1"/>
    <col min="14880" max="14880" width="11.5703125" style="305" customWidth="1"/>
    <col min="14881" max="14887" width="10.85546875" style="305" customWidth="1"/>
    <col min="14888" max="15104" width="11.85546875" style="305"/>
    <col min="15105" max="15105" width="34.7109375" style="305" customWidth="1"/>
    <col min="15106" max="15106" width="10" style="305" customWidth="1"/>
    <col min="15107" max="15107" width="8.7109375" style="305" customWidth="1"/>
    <col min="15108" max="15108" width="7.7109375" style="305" customWidth="1"/>
    <col min="15109" max="15109" width="8.7109375" style="305" customWidth="1"/>
    <col min="15110" max="15110" width="9.140625" style="305" customWidth="1"/>
    <col min="15111" max="15111" width="10" style="305" customWidth="1"/>
    <col min="15112" max="15113" width="10.28515625" style="305" customWidth="1"/>
    <col min="15114" max="15114" width="11" style="305" customWidth="1"/>
    <col min="15115" max="15115" width="11.7109375" style="305" customWidth="1"/>
    <col min="15116" max="15116" width="10.28515625" style="305" customWidth="1"/>
    <col min="15117" max="15117" width="7.7109375" style="305" customWidth="1"/>
    <col min="15118" max="15118" width="22.7109375" style="305" customWidth="1"/>
    <col min="15119" max="15119" width="9.28515625" style="305" customWidth="1"/>
    <col min="15120" max="15120" width="10.7109375" style="305" customWidth="1"/>
    <col min="15121" max="15121" width="8.7109375" style="305" customWidth="1"/>
    <col min="15122" max="15122" width="8" style="305" customWidth="1"/>
    <col min="15123" max="15123" width="8.7109375" style="305" customWidth="1"/>
    <col min="15124" max="15124" width="10.5703125" style="305" customWidth="1"/>
    <col min="15125" max="15125" width="10.140625" style="305" customWidth="1"/>
    <col min="15126" max="15126" width="10.28515625" style="305" customWidth="1"/>
    <col min="15127" max="15127" width="10.85546875" style="305" customWidth="1"/>
    <col min="15128" max="15128" width="10.28515625" style="305" customWidth="1"/>
    <col min="15129" max="15129" width="13.28515625" style="305" customWidth="1"/>
    <col min="15130" max="15130" width="9.7109375" style="305" customWidth="1"/>
    <col min="15131" max="15131" width="9.5703125" style="305" customWidth="1"/>
    <col min="15132" max="15132" width="8.42578125" style="305" customWidth="1"/>
    <col min="15133" max="15133" width="10" style="305" customWidth="1"/>
    <col min="15134" max="15135" width="10.85546875" style="305" customWidth="1"/>
    <col min="15136" max="15136" width="11.5703125" style="305" customWidth="1"/>
    <col min="15137" max="15143" width="10.85546875" style="305" customWidth="1"/>
    <col min="15144" max="15360" width="11.85546875" style="305"/>
    <col min="15361" max="15361" width="34.7109375" style="305" customWidth="1"/>
    <col min="15362" max="15362" width="10" style="305" customWidth="1"/>
    <col min="15363" max="15363" width="8.7109375" style="305" customWidth="1"/>
    <col min="15364" max="15364" width="7.7109375" style="305" customWidth="1"/>
    <col min="15365" max="15365" width="8.7109375" style="305" customWidth="1"/>
    <col min="15366" max="15366" width="9.140625" style="305" customWidth="1"/>
    <col min="15367" max="15367" width="10" style="305" customWidth="1"/>
    <col min="15368" max="15369" width="10.28515625" style="305" customWidth="1"/>
    <col min="15370" max="15370" width="11" style="305" customWidth="1"/>
    <col min="15371" max="15371" width="11.7109375" style="305" customWidth="1"/>
    <col min="15372" max="15372" width="10.28515625" style="305" customWidth="1"/>
    <col min="15373" max="15373" width="7.7109375" style="305" customWidth="1"/>
    <col min="15374" max="15374" width="22.7109375" style="305" customWidth="1"/>
    <col min="15375" max="15375" width="9.28515625" style="305" customWidth="1"/>
    <col min="15376" max="15376" width="10.7109375" style="305" customWidth="1"/>
    <col min="15377" max="15377" width="8.7109375" style="305" customWidth="1"/>
    <col min="15378" max="15378" width="8" style="305" customWidth="1"/>
    <col min="15379" max="15379" width="8.7109375" style="305" customWidth="1"/>
    <col min="15380" max="15380" width="10.5703125" style="305" customWidth="1"/>
    <col min="15381" max="15381" width="10.140625" style="305" customWidth="1"/>
    <col min="15382" max="15382" width="10.28515625" style="305" customWidth="1"/>
    <col min="15383" max="15383" width="10.85546875" style="305" customWidth="1"/>
    <col min="15384" max="15384" width="10.28515625" style="305" customWidth="1"/>
    <col min="15385" max="15385" width="13.28515625" style="305" customWidth="1"/>
    <col min="15386" max="15386" width="9.7109375" style="305" customWidth="1"/>
    <col min="15387" max="15387" width="9.5703125" style="305" customWidth="1"/>
    <col min="15388" max="15388" width="8.42578125" style="305" customWidth="1"/>
    <col min="15389" max="15389" width="10" style="305" customWidth="1"/>
    <col min="15390" max="15391" width="10.85546875" style="305" customWidth="1"/>
    <col min="15392" max="15392" width="11.5703125" style="305" customWidth="1"/>
    <col min="15393" max="15399" width="10.85546875" style="305" customWidth="1"/>
    <col min="15400" max="15616" width="11.85546875" style="305"/>
    <col min="15617" max="15617" width="34.7109375" style="305" customWidth="1"/>
    <col min="15618" max="15618" width="10" style="305" customWidth="1"/>
    <col min="15619" max="15619" width="8.7109375" style="305" customWidth="1"/>
    <col min="15620" max="15620" width="7.7109375" style="305" customWidth="1"/>
    <col min="15621" max="15621" width="8.7109375" style="305" customWidth="1"/>
    <col min="15622" max="15622" width="9.140625" style="305" customWidth="1"/>
    <col min="15623" max="15623" width="10" style="305" customWidth="1"/>
    <col min="15624" max="15625" width="10.28515625" style="305" customWidth="1"/>
    <col min="15626" max="15626" width="11" style="305" customWidth="1"/>
    <col min="15627" max="15627" width="11.7109375" style="305" customWidth="1"/>
    <col min="15628" max="15628" width="10.28515625" style="305" customWidth="1"/>
    <col min="15629" max="15629" width="7.7109375" style="305" customWidth="1"/>
    <col min="15630" max="15630" width="22.7109375" style="305" customWidth="1"/>
    <col min="15631" max="15631" width="9.28515625" style="305" customWidth="1"/>
    <col min="15632" max="15632" width="10.7109375" style="305" customWidth="1"/>
    <col min="15633" max="15633" width="8.7109375" style="305" customWidth="1"/>
    <col min="15634" max="15634" width="8" style="305" customWidth="1"/>
    <col min="15635" max="15635" width="8.7109375" style="305" customWidth="1"/>
    <col min="15636" max="15636" width="10.5703125" style="305" customWidth="1"/>
    <col min="15637" max="15637" width="10.140625" style="305" customWidth="1"/>
    <col min="15638" max="15638" width="10.28515625" style="305" customWidth="1"/>
    <col min="15639" max="15639" width="10.85546875" style="305" customWidth="1"/>
    <col min="15640" max="15640" width="10.28515625" style="305" customWidth="1"/>
    <col min="15641" max="15641" width="13.28515625" style="305" customWidth="1"/>
    <col min="15642" max="15642" width="9.7109375" style="305" customWidth="1"/>
    <col min="15643" max="15643" width="9.5703125" style="305" customWidth="1"/>
    <col min="15644" max="15644" width="8.42578125" style="305" customWidth="1"/>
    <col min="15645" max="15645" width="10" style="305" customWidth="1"/>
    <col min="15646" max="15647" width="10.85546875" style="305" customWidth="1"/>
    <col min="15648" max="15648" width="11.5703125" style="305" customWidth="1"/>
    <col min="15649" max="15655" width="10.85546875" style="305" customWidth="1"/>
    <col min="15656" max="15872" width="11.85546875" style="305"/>
    <col min="15873" max="15873" width="34.7109375" style="305" customWidth="1"/>
    <col min="15874" max="15874" width="10" style="305" customWidth="1"/>
    <col min="15875" max="15875" width="8.7109375" style="305" customWidth="1"/>
    <col min="15876" max="15876" width="7.7109375" style="305" customWidth="1"/>
    <col min="15877" max="15877" width="8.7109375" style="305" customWidth="1"/>
    <col min="15878" max="15878" width="9.140625" style="305" customWidth="1"/>
    <col min="15879" max="15879" width="10" style="305" customWidth="1"/>
    <col min="15880" max="15881" width="10.28515625" style="305" customWidth="1"/>
    <col min="15882" max="15882" width="11" style="305" customWidth="1"/>
    <col min="15883" max="15883" width="11.7109375" style="305" customWidth="1"/>
    <col min="15884" max="15884" width="10.28515625" style="305" customWidth="1"/>
    <col min="15885" max="15885" width="7.7109375" style="305" customWidth="1"/>
    <col min="15886" max="15886" width="22.7109375" style="305" customWidth="1"/>
    <col min="15887" max="15887" width="9.28515625" style="305" customWidth="1"/>
    <col min="15888" max="15888" width="10.7109375" style="305" customWidth="1"/>
    <col min="15889" max="15889" width="8.7109375" style="305" customWidth="1"/>
    <col min="15890" max="15890" width="8" style="305" customWidth="1"/>
    <col min="15891" max="15891" width="8.7109375" style="305" customWidth="1"/>
    <col min="15892" max="15892" width="10.5703125" style="305" customWidth="1"/>
    <col min="15893" max="15893" width="10.140625" style="305" customWidth="1"/>
    <col min="15894" max="15894" width="10.28515625" style="305" customWidth="1"/>
    <col min="15895" max="15895" width="10.85546875" style="305" customWidth="1"/>
    <col min="15896" max="15896" width="10.28515625" style="305" customWidth="1"/>
    <col min="15897" max="15897" width="13.28515625" style="305" customWidth="1"/>
    <col min="15898" max="15898" width="9.7109375" style="305" customWidth="1"/>
    <col min="15899" max="15899" width="9.5703125" style="305" customWidth="1"/>
    <col min="15900" max="15900" width="8.42578125" style="305" customWidth="1"/>
    <col min="15901" max="15901" width="10" style="305" customWidth="1"/>
    <col min="15902" max="15903" width="10.85546875" style="305" customWidth="1"/>
    <col min="15904" max="15904" width="11.5703125" style="305" customWidth="1"/>
    <col min="15905" max="15911" width="10.85546875" style="305" customWidth="1"/>
    <col min="15912" max="16128" width="11.85546875" style="305"/>
    <col min="16129" max="16129" width="34.7109375" style="305" customWidth="1"/>
    <col min="16130" max="16130" width="10" style="305" customWidth="1"/>
    <col min="16131" max="16131" width="8.7109375" style="305" customWidth="1"/>
    <col min="16132" max="16132" width="7.7109375" style="305" customWidth="1"/>
    <col min="16133" max="16133" width="8.7109375" style="305" customWidth="1"/>
    <col min="16134" max="16134" width="9.140625" style="305" customWidth="1"/>
    <col min="16135" max="16135" width="10" style="305" customWidth="1"/>
    <col min="16136" max="16137" width="10.28515625" style="305" customWidth="1"/>
    <col min="16138" max="16138" width="11" style="305" customWidth="1"/>
    <col min="16139" max="16139" width="11.7109375" style="305" customWidth="1"/>
    <col min="16140" max="16140" width="10.28515625" style="305" customWidth="1"/>
    <col min="16141" max="16141" width="7.7109375" style="305" customWidth="1"/>
    <col min="16142" max="16142" width="22.7109375" style="305" customWidth="1"/>
    <col min="16143" max="16143" width="9.28515625" style="305" customWidth="1"/>
    <col min="16144" max="16144" width="10.7109375" style="305" customWidth="1"/>
    <col min="16145" max="16145" width="8.7109375" style="305" customWidth="1"/>
    <col min="16146" max="16146" width="8" style="305" customWidth="1"/>
    <col min="16147" max="16147" width="8.7109375" style="305" customWidth="1"/>
    <col min="16148" max="16148" width="10.5703125" style="305" customWidth="1"/>
    <col min="16149" max="16149" width="10.140625" style="305" customWidth="1"/>
    <col min="16150" max="16150" width="10.28515625" style="305" customWidth="1"/>
    <col min="16151" max="16151" width="10.85546875" style="305" customWidth="1"/>
    <col min="16152" max="16152" width="10.28515625" style="305" customWidth="1"/>
    <col min="16153" max="16153" width="13.28515625" style="305" customWidth="1"/>
    <col min="16154" max="16154" width="9.7109375" style="305" customWidth="1"/>
    <col min="16155" max="16155" width="9.5703125" style="305" customWidth="1"/>
    <col min="16156" max="16156" width="8.42578125" style="305" customWidth="1"/>
    <col min="16157" max="16157" width="10" style="305" customWidth="1"/>
    <col min="16158" max="16159" width="10.85546875" style="305" customWidth="1"/>
    <col min="16160" max="16160" width="11.5703125" style="305" customWidth="1"/>
    <col min="16161" max="16167" width="10.85546875" style="305" customWidth="1"/>
    <col min="16168" max="16384" width="11.85546875" style="305"/>
  </cols>
  <sheetData>
    <row r="1" spans="1:28" ht="19.5" customHeight="1" x14ac:dyDescent="0.25">
      <c r="A1" s="303" t="s">
        <v>424</v>
      </c>
      <c r="B1" s="304" t="s">
        <v>425</v>
      </c>
      <c r="H1" s="306">
        <f>G7+G31</f>
        <v>19137.017419646705</v>
      </c>
      <c r="N1" s="307" t="s">
        <v>426</v>
      </c>
      <c r="O1" s="308" t="s">
        <v>427</v>
      </c>
    </row>
    <row r="2" spans="1:28" ht="12.75" customHeight="1" x14ac:dyDescent="0.2">
      <c r="A2" s="309" t="s">
        <v>428</v>
      </c>
      <c r="B2" s="304" t="s">
        <v>429</v>
      </c>
      <c r="C2" s="310"/>
      <c r="D2" s="310"/>
      <c r="E2" s="310"/>
      <c r="F2" s="310"/>
      <c r="G2" s="304" t="s">
        <v>430</v>
      </c>
      <c r="N2" s="311" t="s">
        <v>431</v>
      </c>
      <c r="O2" s="312"/>
      <c r="R2"/>
      <c r="S2"/>
      <c r="T2"/>
      <c r="U2"/>
      <c r="V2"/>
      <c r="W2"/>
      <c r="X2"/>
      <c r="Y2"/>
      <c r="Z2"/>
      <c r="AA2"/>
    </row>
    <row r="3" spans="1:28" ht="12.75" customHeight="1" x14ac:dyDescent="0.2">
      <c r="A3" s="309" t="s">
        <v>432</v>
      </c>
      <c r="B3" s="304" t="s">
        <v>433</v>
      </c>
      <c r="C3" s="304" t="s">
        <v>434</v>
      </c>
      <c r="D3" s="313" t="s">
        <v>435</v>
      </c>
      <c r="E3" s="304" t="s">
        <v>436</v>
      </c>
      <c r="F3" s="314" t="s">
        <v>437</v>
      </c>
      <c r="G3" s="304" t="s">
        <v>433</v>
      </c>
      <c r="H3"/>
      <c r="I3"/>
      <c r="J3"/>
      <c r="K3"/>
      <c r="L3"/>
      <c r="N3" s="311" t="s">
        <v>438</v>
      </c>
      <c r="O3" s="315">
        <f>'[2]recap ind campagne SD21 b14'!F15</f>
        <v>116.47112902249421</v>
      </c>
      <c r="Q3" s="305">
        <f>1.01479163703598*100</f>
        <v>101.47916370359799</v>
      </c>
      <c r="R3"/>
      <c r="S3"/>
      <c r="T3"/>
      <c r="U3"/>
      <c r="V3"/>
      <c r="W3"/>
      <c r="X3"/>
      <c r="Y3"/>
      <c r="Z3"/>
      <c r="AA3"/>
    </row>
    <row r="4" spans="1:28" ht="12.75" customHeight="1" x14ac:dyDescent="0.25">
      <c r="A4" s="316" t="s">
        <v>439</v>
      </c>
      <c r="B4" s="310"/>
      <c r="C4" s="310"/>
      <c r="D4" s="310"/>
      <c r="E4" s="310"/>
      <c r="F4" s="310"/>
      <c r="G4" s="310"/>
      <c r="H4"/>
      <c r="I4" s="701" t="s">
        <v>709</v>
      </c>
      <c r="J4" s="704" t="s">
        <v>708</v>
      </c>
      <c r="K4" s="702">
        <f>(G5+'synthèse 41B'!H5)/(G5+G18+G31+G34+'synthèse 41B'!H15)</f>
        <v>0.53402981876996292</v>
      </c>
      <c r="L4"/>
      <c r="N4" s="311" t="s">
        <v>440</v>
      </c>
      <c r="O4" s="317"/>
      <c r="P4" s="318"/>
      <c r="Q4" s="319"/>
      <c r="R4"/>
      <c r="S4"/>
      <c r="T4"/>
      <c r="U4"/>
      <c r="V4"/>
      <c r="W4"/>
      <c r="X4"/>
      <c r="Y4"/>
      <c r="Z4"/>
      <c r="AA4"/>
    </row>
    <row r="5" spans="1:28" ht="12.75" customHeight="1" x14ac:dyDescent="0.3">
      <c r="A5" s="320" t="s">
        <v>441</v>
      </c>
      <c r="B5" s="321">
        <v>30549.889112339337</v>
      </c>
      <c r="C5" s="322">
        <f t="shared" ref="C5:C16" si="0">G5/B5*100</f>
        <v>117.77952190164531</v>
      </c>
      <c r="D5" s="323">
        <f>O$5</f>
        <v>104.68727940138361</v>
      </c>
      <c r="E5" s="322">
        <f>F5/B5*100</f>
        <v>112.50604903969705</v>
      </c>
      <c r="F5" s="324">
        <f>SUM(F6:F8)</f>
        <v>34370.473226301569</v>
      </c>
      <c r="G5" s="321">
        <f>SUM(G6:G8)</f>
        <v>35981.513337996068</v>
      </c>
      <c r="H5" s="325"/>
      <c r="I5" s="701" t="s">
        <v>709</v>
      </c>
      <c r="J5" s="704" t="s">
        <v>708</v>
      </c>
      <c r="K5" s="702">
        <f>(G5+'synthèse 41B'!H5)/(G18+G5+'synthèse 41B'!H15)</f>
        <v>0.57663478283553138</v>
      </c>
      <c r="L5" s="707">
        <f>G7/(G7+G19)</f>
        <v>0.54481004511938491</v>
      </c>
      <c r="M5" s="708" t="s">
        <v>486</v>
      </c>
      <c r="N5" s="311" t="s">
        <v>442</v>
      </c>
      <c r="O5" s="315">
        <f>'[2]recap ind campagne SD21 b14'!G26</f>
        <v>104.68727940138361</v>
      </c>
      <c r="P5" s="315">
        <f>O5+0.36</f>
        <v>105.04727940138361</v>
      </c>
      <c r="R5"/>
      <c r="S5"/>
      <c r="T5"/>
      <c r="U5"/>
      <c r="V5"/>
      <c r="W5"/>
      <c r="X5"/>
      <c r="Y5"/>
      <c r="Z5"/>
      <c r="AA5"/>
    </row>
    <row r="6" spans="1:28" ht="12.75" customHeight="1" x14ac:dyDescent="0.2">
      <c r="A6" s="326" t="s">
        <v>443</v>
      </c>
      <c r="B6" s="321">
        <v>19472.934652849162</v>
      </c>
      <c r="C6" s="322">
        <f t="shared" si="0"/>
        <v>118.42507374805793</v>
      </c>
      <c r="D6" s="323">
        <f t="shared" ref="D6:D14" si="1">O$5</f>
        <v>104.68727940138361</v>
      </c>
      <c r="E6" s="322">
        <f>F6/B6*100</f>
        <v>113.1226968789608</v>
      </c>
      <c r="F6" s="324">
        <f>F10+F12</f>
        <v>22028.308840780675</v>
      </c>
      <c r="G6" s="321">
        <f>G10+G12</f>
        <v>23060.837223547751</v>
      </c>
      <c r="H6"/>
      <c r="I6"/>
      <c r="J6"/>
      <c r="K6"/>
      <c r="L6"/>
      <c r="M6"/>
      <c r="N6" s="311" t="s">
        <v>444</v>
      </c>
      <c r="O6" s="315">
        <f>'[2]recap ind campagne SD21 b14'!G28</f>
        <v>104.38908659549229</v>
      </c>
      <c r="R6"/>
      <c r="S6"/>
      <c r="T6"/>
      <c r="U6"/>
      <c r="V6"/>
      <c r="W6"/>
      <c r="X6"/>
      <c r="Y6"/>
      <c r="Z6"/>
      <c r="AA6"/>
    </row>
    <row r="7" spans="1:28" ht="12.75" customHeight="1" x14ac:dyDescent="0.2">
      <c r="A7" s="326" t="s">
        <v>445</v>
      </c>
      <c r="B7" s="321">
        <v>10386.954459490174</v>
      </c>
      <c r="C7" s="322">
        <f t="shared" si="0"/>
        <v>117.2706903854299</v>
      </c>
      <c r="D7" s="323">
        <f t="shared" si="1"/>
        <v>104.68727940138361</v>
      </c>
      <c r="E7" s="322">
        <f>F7/B7*100</f>
        <v>112.01999999999998</v>
      </c>
      <c r="F7" s="324">
        <f>F13</f>
        <v>11635.466385520893</v>
      </c>
      <c r="G7" s="321">
        <f>G13</f>
        <v>12180.853204664327</v>
      </c>
      <c r="H7"/>
      <c r="I7"/>
      <c r="J7"/>
      <c r="K7"/>
      <c r="L7"/>
      <c r="M7"/>
      <c r="N7" s="311" t="s">
        <v>446</v>
      </c>
      <c r="O7" s="315"/>
      <c r="R7"/>
      <c r="S7"/>
      <c r="T7"/>
      <c r="U7"/>
      <c r="V7"/>
      <c r="W7"/>
      <c r="X7"/>
      <c r="Y7"/>
      <c r="Z7"/>
      <c r="AA7"/>
    </row>
    <row r="8" spans="1:28" ht="12.75" customHeight="1" x14ac:dyDescent="0.2">
      <c r="A8" s="326" t="s">
        <v>104</v>
      </c>
      <c r="B8" s="321">
        <v>690</v>
      </c>
      <c r="C8" s="322">
        <f t="shared" si="0"/>
        <v>107.22071156289708</v>
      </c>
      <c r="D8" s="323">
        <f t="shared" si="1"/>
        <v>104.68727940138361</v>
      </c>
      <c r="E8" s="322">
        <f>F8/B8*100</f>
        <v>102.42</v>
      </c>
      <c r="F8" s="324">
        <f>F14</f>
        <v>706.69799999999998</v>
      </c>
      <c r="G8" s="321">
        <f>G14</f>
        <v>739.82290978398987</v>
      </c>
      <c r="H8" s="325"/>
      <c r="L8" s="306"/>
      <c r="N8" s="327" t="s">
        <v>447</v>
      </c>
      <c r="O8" s="315">
        <f>'[2]recap ind campagne SD21 b14'!G32</f>
        <v>102.86809815950923</v>
      </c>
      <c r="R8"/>
      <c r="S8"/>
      <c r="T8"/>
      <c r="U8"/>
      <c r="V8"/>
      <c r="W8"/>
      <c r="X8"/>
      <c r="Y8"/>
      <c r="Z8"/>
      <c r="AA8"/>
    </row>
    <row r="9" spans="1:28" ht="12.75" customHeight="1" x14ac:dyDescent="0.2">
      <c r="A9" s="328" t="s">
        <v>448</v>
      </c>
      <c r="B9" s="321">
        <v>16158.376225049698</v>
      </c>
      <c r="C9" s="322">
        <f t="shared" si="0"/>
        <v>119.5633418043202</v>
      </c>
      <c r="D9" s="323">
        <f t="shared" si="1"/>
        <v>104.68727940138361</v>
      </c>
      <c r="E9" s="322">
        <f>E10</f>
        <v>114.21</v>
      </c>
      <c r="F9" s="324">
        <f>F10</f>
        <v>18454.481486629258</v>
      </c>
      <c r="G9" s="321">
        <f>G10</f>
        <v>19319.494595984183</v>
      </c>
      <c r="H9" s="325"/>
      <c r="I9"/>
      <c r="J9" s="306"/>
      <c r="K9" s="306"/>
      <c r="L9" s="306"/>
      <c r="N9" s="329" t="s">
        <v>449</v>
      </c>
      <c r="O9" s="315">
        <f>'[2]recap ind campagne SD21 b14'!G33</f>
        <v>103.81791483113072</v>
      </c>
      <c r="P9" s="319"/>
      <c r="R9"/>
      <c r="S9"/>
      <c r="T9"/>
      <c r="U9"/>
      <c r="V9"/>
      <c r="W9"/>
      <c r="X9"/>
      <c r="Y9"/>
      <c r="Z9"/>
      <c r="AA9"/>
    </row>
    <row r="10" spans="1:28" ht="12.75" customHeight="1" x14ac:dyDescent="0.25">
      <c r="A10" s="330" t="s">
        <v>95</v>
      </c>
      <c r="B10" s="331">
        <v>16158.376225049698</v>
      </c>
      <c r="C10" s="322">
        <f t="shared" si="0"/>
        <v>119.5633418043202</v>
      </c>
      <c r="D10" s="323">
        <f t="shared" si="1"/>
        <v>104.68727940138361</v>
      </c>
      <c r="E10" s="332">
        <f>Q22+0.14</f>
        <v>114.21</v>
      </c>
      <c r="F10" s="324">
        <f>G10/D10*100</f>
        <v>18454.481486629258</v>
      </c>
      <c r="G10" s="331">
        <f>B10*E10/100*D10/100</f>
        <v>19319.494595984183</v>
      </c>
      <c r="H10" s="325"/>
      <c r="I10" s="703"/>
      <c r="J10" s="700"/>
      <c r="K10" s="701">
        <f>G5+G18+G33+G31</f>
        <v>91665.510088696392</v>
      </c>
      <c r="L10" s="306"/>
      <c r="N10" s="329" t="s">
        <v>450</v>
      </c>
      <c r="O10" s="315">
        <f>'[2]recap ind campagne SD21 b14'!G34</f>
        <v>102.29753453934818</v>
      </c>
      <c r="R10"/>
      <c r="S10"/>
      <c r="T10"/>
      <c r="U10"/>
      <c r="V10"/>
      <c r="W10"/>
      <c r="X10"/>
      <c r="Y10"/>
      <c r="Z10"/>
      <c r="AA10"/>
    </row>
    <row r="11" spans="1:28" ht="12.75" customHeight="1" x14ac:dyDescent="0.25">
      <c r="A11" s="328" t="s">
        <v>451</v>
      </c>
      <c r="B11" s="321">
        <v>14391.578234440476</v>
      </c>
      <c r="C11" s="322">
        <f t="shared" si="0"/>
        <v>115.77617458339643</v>
      </c>
      <c r="D11" s="323">
        <f t="shared" si="1"/>
        <v>104.68727940138361</v>
      </c>
      <c r="E11" s="322">
        <f>F11/B11*100</f>
        <v>110.59239980771368</v>
      </c>
      <c r="F11" s="324">
        <f>SUM(F12:F14)</f>
        <v>15915.99173967231</v>
      </c>
      <c r="G11" s="321">
        <f>SUM(G12:G14)</f>
        <v>16662.018742011885</v>
      </c>
      <c r="H11" s="325"/>
      <c r="I11" s="703"/>
      <c r="J11" s="700"/>
      <c r="K11" s="701">
        <f>G46+G52+G55</f>
        <v>45912.937203549911</v>
      </c>
      <c r="L11" s="306"/>
      <c r="N11" s="329" t="s">
        <v>452</v>
      </c>
      <c r="O11" s="315">
        <f>'[2]recap ind campagne SD21 b14'!G39</f>
        <v>104.39836632108074</v>
      </c>
      <c r="R11"/>
      <c r="S11"/>
      <c r="T11"/>
      <c r="U11"/>
      <c r="V11"/>
      <c r="W11"/>
      <c r="X11"/>
      <c r="Y11"/>
      <c r="Z11"/>
      <c r="AA11"/>
    </row>
    <row r="12" spans="1:28" ht="12.75" customHeight="1" x14ac:dyDescent="0.25">
      <c r="A12" s="330" t="s">
        <v>443</v>
      </c>
      <c r="B12" s="331">
        <v>3314.6237749503025</v>
      </c>
      <c r="C12" s="322">
        <f t="shared" si="0"/>
        <v>112.87382465057181</v>
      </c>
      <c r="D12" s="323">
        <f t="shared" si="1"/>
        <v>104.68727940138361</v>
      </c>
      <c r="E12" s="332">
        <f>R22+0.9</f>
        <v>107.82000000000001</v>
      </c>
      <c r="F12" s="324">
        <f>G12/D12*100</f>
        <v>3573.8273541514163</v>
      </c>
      <c r="G12" s="331">
        <f>B12*E12/100*D12/100</f>
        <v>3741.3426275635684</v>
      </c>
      <c r="H12" s="325"/>
      <c r="I12" s="701" t="s">
        <v>707</v>
      </c>
      <c r="J12" s="704"/>
      <c r="K12" s="702">
        <f>K10/K11</f>
        <v>1.9965072084651767</v>
      </c>
      <c r="L12" s="333">
        <f>(K10+'synthèse 41B'!J4)/('synthése 43Z'!K11+'synthèse 41B'!J5)</f>
        <v>1.8896539897115461</v>
      </c>
      <c r="N12" s="311" t="s">
        <v>453</v>
      </c>
      <c r="O12" s="315"/>
      <c r="S12" s="334"/>
      <c r="T12"/>
      <c r="U12"/>
      <c r="V12"/>
      <c r="W12"/>
      <c r="X12"/>
      <c r="Y12"/>
      <c r="Z12"/>
      <c r="AA12"/>
      <c r="AB12"/>
    </row>
    <row r="13" spans="1:28" ht="12.75" customHeight="1" x14ac:dyDescent="0.2">
      <c r="A13" s="330" t="s">
        <v>445</v>
      </c>
      <c r="B13" s="331">
        <v>10386.954459490174</v>
      </c>
      <c r="C13" s="322">
        <f t="shared" si="0"/>
        <v>117.2706903854299</v>
      </c>
      <c r="D13" s="323">
        <f t="shared" si="1"/>
        <v>104.68727940138361</v>
      </c>
      <c r="E13" s="332">
        <f>R22+5.1</f>
        <v>112.02</v>
      </c>
      <c r="F13" s="324">
        <f>G13/D13*100</f>
        <v>11635.466385520893</v>
      </c>
      <c r="G13" s="331">
        <f>B13*E13/100*D13/100</f>
        <v>12180.853204664327</v>
      </c>
      <c r="H13" s="325"/>
      <c r="I13"/>
      <c r="L13" s="306"/>
      <c r="N13" s="335" t="s">
        <v>454</v>
      </c>
      <c r="O13" s="315">
        <f>'[2]recap ind campagne SD21 b14'!G35</f>
        <v>102.24441378733722</v>
      </c>
      <c r="T13"/>
      <c r="U13"/>
      <c r="V13"/>
      <c r="W13"/>
      <c r="X13"/>
      <c r="Y13"/>
      <c r="Z13"/>
      <c r="AA13"/>
      <c r="AB13"/>
    </row>
    <row r="14" spans="1:28" ht="12.75" customHeight="1" x14ac:dyDescent="0.2">
      <c r="A14" s="330" t="s">
        <v>104</v>
      </c>
      <c r="B14" s="324">
        <v>690</v>
      </c>
      <c r="C14" s="322">
        <f t="shared" si="0"/>
        <v>107.22071156289708</v>
      </c>
      <c r="D14" s="323">
        <f t="shared" si="1"/>
        <v>104.68727940138361</v>
      </c>
      <c r="E14" s="332">
        <f>R22-4.5</f>
        <v>102.42</v>
      </c>
      <c r="F14" s="324">
        <f>G14/D14*100</f>
        <v>706.69799999999998</v>
      </c>
      <c r="G14" s="324">
        <f>B14*E14/100*D14/100</f>
        <v>739.82290978398987</v>
      </c>
      <c r="H14" s="325"/>
      <c r="L14" s="306"/>
      <c r="T14"/>
      <c r="U14"/>
      <c r="V14"/>
      <c r="W14"/>
      <c r="X14"/>
      <c r="Y14"/>
      <c r="Z14"/>
      <c r="AA14"/>
      <c r="AB14"/>
    </row>
    <row r="15" spans="1:28" ht="15.75" customHeight="1" x14ac:dyDescent="0.2">
      <c r="A15" s="320" t="s">
        <v>455</v>
      </c>
      <c r="B15" s="321">
        <v>71766.747106558993</v>
      </c>
      <c r="C15" s="322">
        <f t="shared" si="0"/>
        <v>116.61152875790275</v>
      </c>
      <c r="D15" s="322">
        <f>G15/F15*100</f>
        <v>103.7533105030351</v>
      </c>
      <c r="E15" s="322">
        <f t="shared" ref="E15:E44" si="2">F15/B15*100</f>
        <v>112.3930679344362</v>
      </c>
      <c r="F15" s="324">
        <f>SUM(F16,F19,F20)</f>
        <v>80660.848829809867</v>
      </c>
      <c r="G15" s="321">
        <f>SUM(G16,G19,G20)</f>
        <v>83688.300940776375</v>
      </c>
      <c r="H15" s="325"/>
      <c r="L15" s="306"/>
      <c r="N15" s="336" t="s">
        <v>456</v>
      </c>
      <c r="O15" s="337"/>
      <c r="P15" s="337"/>
      <c r="Q15" s="337"/>
      <c r="R15" s="337"/>
      <c r="S15" s="337"/>
      <c r="T15"/>
      <c r="U15"/>
      <c r="V15"/>
      <c r="W15"/>
      <c r="X15"/>
      <c r="Y15"/>
      <c r="Z15"/>
      <c r="AA15"/>
      <c r="AB15"/>
    </row>
    <row r="16" spans="1:28" ht="12.75" customHeight="1" x14ac:dyDescent="0.2">
      <c r="A16" s="326" t="s">
        <v>95</v>
      </c>
      <c r="B16" s="321">
        <v>62352.293630107313</v>
      </c>
      <c r="C16" s="322">
        <f t="shared" si="0"/>
        <v>117.01337379785701</v>
      </c>
      <c r="D16" s="322">
        <f>G16/F16*100</f>
        <v>103.66048139435232</v>
      </c>
      <c r="E16" s="322">
        <f t="shared" si="2"/>
        <v>112.88137217181801</v>
      </c>
      <c r="F16" s="324">
        <f>SUM(F17:F18)</f>
        <v>70384.124630266218</v>
      </c>
      <c r="G16" s="321">
        <f>SUM(G17:G18)</f>
        <v>72960.522416934851</v>
      </c>
      <c r="H16" s="325"/>
      <c r="L16" s="338" t="s">
        <v>457</v>
      </c>
      <c r="N16" s="337"/>
      <c r="O16" s="337"/>
      <c r="P16" s="337"/>
      <c r="Q16"/>
      <c r="R16"/>
      <c r="S16" s="339" t="s">
        <v>458</v>
      </c>
      <c r="T16"/>
      <c r="U16"/>
      <c r="V16"/>
      <c r="W16"/>
      <c r="X16"/>
      <c r="Y16"/>
      <c r="Z16"/>
      <c r="AA16"/>
      <c r="AB16"/>
    </row>
    <row r="17" spans="1:33" ht="12.75" customHeight="1" x14ac:dyDescent="0.2">
      <c r="A17" s="340" t="s">
        <v>459</v>
      </c>
      <c r="B17" s="321">
        <v>20903.066407136619</v>
      </c>
      <c r="C17" s="341">
        <f>(19565.9/16693.1*100)-0.25</f>
        <v>116.95950572392188</v>
      </c>
      <c r="D17" s="323">
        <f>O$13</f>
        <v>102.24441378733722</v>
      </c>
      <c r="E17" s="322">
        <f t="shared" si="2"/>
        <v>114.39207423810092</v>
      </c>
      <c r="F17" s="324">
        <f>G17/D17*100</f>
        <v>23911.451242491254</v>
      </c>
      <c r="G17" s="321">
        <f>B17*C17/100</f>
        <v>24448.123150930143</v>
      </c>
      <c r="H17" s="325"/>
      <c r="L17" s="342">
        <f>(G17+G71)/(G17+G71+G18+G72)</f>
        <v>0.33403430732063888</v>
      </c>
      <c r="N17" s="337"/>
      <c r="O17" s="343"/>
      <c r="P17" s="344"/>
      <c r="Q17" s="345" t="s">
        <v>460</v>
      </c>
      <c r="R17" s="345" t="s">
        <v>460</v>
      </c>
      <c r="S17" s="346" t="s">
        <v>460</v>
      </c>
      <c r="T17" s="337"/>
      <c r="U17" s="337"/>
      <c r="V17"/>
      <c r="W17"/>
      <c r="X17"/>
      <c r="Y17"/>
      <c r="Z17"/>
      <c r="AA17"/>
      <c r="AB17"/>
      <c r="AC17"/>
      <c r="AD17"/>
    </row>
    <row r="18" spans="1:33" ht="12.75" customHeight="1" x14ac:dyDescent="0.2">
      <c r="A18" s="340" t="s">
        <v>461</v>
      </c>
      <c r="B18" s="347">
        <v>41449.227222970694</v>
      </c>
      <c r="C18" s="341">
        <f>(U27+R37)/2+0.61</f>
        <v>117.04053975491173</v>
      </c>
      <c r="D18" s="323">
        <f>O$6</f>
        <v>104.38908659549229</v>
      </c>
      <c r="E18" s="322">
        <f t="shared" si="2"/>
        <v>112.11951706067111</v>
      </c>
      <c r="F18" s="324">
        <f>G18/D18*100</f>
        <v>46472.673387774965</v>
      </c>
      <c r="G18" s="347">
        <f>B18*C18/100</f>
        <v>48512.399266004708</v>
      </c>
      <c r="H18" s="325"/>
      <c r="I18" s="306"/>
      <c r="K18" s="306"/>
      <c r="L18" s="333"/>
      <c r="N18" s="348"/>
      <c r="O18" s="349"/>
      <c r="P18" s="350" t="s">
        <v>462</v>
      </c>
      <c r="Q18" s="351" t="s">
        <v>463</v>
      </c>
      <c r="R18" s="351" t="s">
        <v>464</v>
      </c>
      <c r="S18" s="352" t="s">
        <v>465</v>
      </c>
      <c r="T18" s="337" t="s">
        <v>466</v>
      </c>
      <c r="V18" s="337"/>
      <c r="W18"/>
      <c r="X18"/>
      <c r="Y18"/>
      <c r="Z18"/>
      <c r="AA18"/>
      <c r="AB18"/>
      <c r="AC18"/>
      <c r="AD18"/>
    </row>
    <row r="19" spans="1:33" ht="12.75" customHeight="1" x14ac:dyDescent="0.2">
      <c r="A19" s="326" t="s">
        <v>445</v>
      </c>
      <c r="B19" s="321">
        <v>8911.5710684946589</v>
      </c>
      <c r="C19" s="322">
        <f>G19/B19*100</f>
        <v>114.20128682529889</v>
      </c>
      <c r="D19" s="323">
        <f>O$6</f>
        <v>104.38908659549229</v>
      </c>
      <c r="E19" s="322">
        <f t="shared" si="2"/>
        <v>109.39964181105337</v>
      </c>
      <c r="F19" s="324">
        <f>F29</f>
        <v>9749.2268286706185</v>
      </c>
      <c r="G19" s="321">
        <f>G29</f>
        <v>10177.128836571937</v>
      </c>
      <c r="H19" s="325"/>
      <c r="J19" s="305">
        <f>(G19/G52)</f>
        <v>0.6431189750905838</v>
      </c>
      <c r="L19" s="306"/>
      <c r="N19" s="353"/>
      <c r="O19" s="354"/>
      <c r="P19" s="355" t="s">
        <v>467</v>
      </c>
      <c r="Q19" s="356">
        <v>97.15</v>
      </c>
      <c r="R19" s="356">
        <v>101.44</v>
      </c>
      <c r="S19" s="356">
        <v>99.7</v>
      </c>
      <c r="T19" s="337"/>
      <c r="V19" s="337"/>
      <c r="W19"/>
      <c r="X19" s="357" t="s">
        <v>468</v>
      </c>
      <c r="Y19" s="358"/>
      <c r="Z19" s="359"/>
      <c r="AA19"/>
      <c r="AB19"/>
      <c r="AC19"/>
      <c r="AD19"/>
    </row>
    <row r="20" spans="1:33" ht="12.75" customHeight="1" x14ac:dyDescent="0.2">
      <c r="A20" s="326" t="s">
        <v>104</v>
      </c>
      <c r="B20" s="321">
        <v>502.88240795701893</v>
      </c>
      <c r="C20" s="322">
        <f>G20/B20*100</f>
        <v>109.49869761931608</v>
      </c>
      <c r="D20" s="323">
        <f>O$6</f>
        <v>104.38908659549229</v>
      </c>
      <c r="E20" s="322">
        <f t="shared" si="2"/>
        <v>104.89477510577665</v>
      </c>
      <c r="F20" s="324">
        <f>F32</f>
        <v>527.49737087302924</v>
      </c>
      <c r="G20" s="321">
        <f>G32</f>
        <v>550.6496872695916</v>
      </c>
      <c r="H20" s="325"/>
      <c r="L20" s="306"/>
      <c r="N20" s="360" t="s">
        <v>469</v>
      </c>
      <c r="O20" s="354"/>
      <c r="P20" s="355" t="s">
        <v>470</v>
      </c>
      <c r="Q20" s="356">
        <v>79.345850999394301</v>
      </c>
      <c r="R20" s="356">
        <v>81.150793650793645</v>
      </c>
      <c r="S20" s="356">
        <v>80.436346199952041</v>
      </c>
      <c r="T20" s="361"/>
      <c r="U20" s="337"/>
      <c r="V20"/>
      <c r="W20"/>
      <c r="X20" s="362">
        <f>1.004*Q22</f>
        <v>114.52628</v>
      </c>
      <c r="Y20" s="363">
        <f>1.009*R22</f>
        <v>107.88227999999999</v>
      </c>
      <c r="Z20" s="364">
        <f>(1.004+1.009)/2*S22</f>
        <v>0</v>
      </c>
      <c r="AA20"/>
      <c r="AB20"/>
      <c r="AC20"/>
      <c r="AD20"/>
    </row>
    <row r="21" spans="1:33" ht="12.75" customHeight="1" x14ac:dyDescent="0.2">
      <c r="A21" s="328" t="s">
        <v>448</v>
      </c>
      <c r="B21" s="321">
        <v>52329.270264493105</v>
      </c>
      <c r="C21" s="322">
        <f>G21/B21*100</f>
        <v>117.01341550724607</v>
      </c>
      <c r="D21" s="322">
        <f>G21/F21*100</f>
        <v>103.6615925234593</v>
      </c>
      <c r="E21" s="322">
        <f t="shared" si="2"/>
        <v>112.88020245373438</v>
      </c>
      <c r="F21" s="324">
        <f>F22</f>
        <v>59069.386217121646</v>
      </c>
      <c r="G21" s="321">
        <f>G22</f>
        <v>61232.266446501075</v>
      </c>
      <c r="H21" s="325"/>
      <c r="I21" s="306"/>
      <c r="K21" s="306"/>
      <c r="L21" s="306"/>
      <c r="N21" s="360" t="s">
        <v>471</v>
      </c>
      <c r="O21" s="354"/>
      <c r="P21" s="355" t="s">
        <v>472</v>
      </c>
      <c r="Q21" s="356">
        <v>77.900000000000006</v>
      </c>
      <c r="R21" s="356">
        <v>78.400000000000006</v>
      </c>
      <c r="S21" s="356">
        <v>78</v>
      </c>
      <c r="T21" s="361"/>
      <c r="U21" s="337"/>
      <c r="X21" s="337"/>
      <c r="Y21" s="337"/>
      <c r="Z21"/>
      <c r="AA21"/>
      <c r="AB21"/>
      <c r="AC21"/>
      <c r="AD21"/>
    </row>
    <row r="22" spans="1:33" ht="12.75" customHeight="1" x14ac:dyDescent="0.2">
      <c r="A22" s="330" t="s">
        <v>95</v>
      </c>
      <c r="B22" s="324">
        <v>52329.270264493105</v>
      </c>
      <c r="C22" s="322">
        <f>G22/B22*100</f>
        <v>117.01341550724607</v>
      </c>
      <c r="D22" s="322">
        <f>G22/F22*100</f>
        <v>103.6615925234593</v>
      </c>
      <c r="E22" s="322">
        <f t="shared" si="2"/>
        <v>112.88020245373438</v>
      </c>
      <c r="F22" s="324">
        <f>SUM(F23:F24)</f>
        <v>59069.386217121646</v>
      </c>
      <c r="G22" s="324">
        <f>SUM(G23:G24)</f>
        <v>61232.266446501075</v>
      </c>
      <c r="H22" s="325"/>
      <c r="I22" s="306"/>
      <c r="K22" s="306"/>
      <c r="L22" s="306"/>
      <c r="N22" s="365"/>
      <c r="O22" s="366"/>
      <c r="P22" s="355" t="s">
        <v>473</v>
      </c>
      <c r="Q22" s="356">
        <v>114.07</v>
      </c>
      <c r="R22" s="356">
        <v>106.92</v>
      </c>
      <c r="S22" s="356"/>
      <c r="T22" s="367">
        <v>104.05752608408187</v>
      </c>
      <c r="U22" s="367">
        <v>104.5</v>
      </c>
      <c r="Z22"/>
      <c r="AA22"/>
      <c r="AB22"/>
      <c r="AC22"/>
      <c r="AD22"/>
    </row>
    <row r="23" spans="1:33" ht="12.75" customHeight="1" x14ac:dyDescent="0.2">
      <c r="A23" s="368" t="s">
        <v>459</v>
      </c>
      <c r="B23" s="324">
        <v>17516</v>
      </c>
      <c r="C23" s="369">
        <f>C17</f>
        <v>116.95950572392188</v>
      </c>
      <c r="D23" s="370">
        <f>D17</f>
        <v>102.24441378733722</v>
      </c>
      <c r="E23" s="322">
        <f t="shared" si="2"/>
        <v>114.39207423810089</v>
      </c>
      <c r="F23" s="324">
        <f>G23/D23*100</f>
        <v>20036.915723545753</v>
      </c>
      <c r="G23" s="371">
        <f>B23*C23/100</f>
        <v>20486.627022602155</v>
      </c>
      <c r="H23" s="325"/>
      <c r="I23"/>
      <c r="K23"/>
      <c r="L23"/>
      <c r="N23" s="372"/>
      <c r="O23" s="337"/>
      <c r="Q23" s="305">
        <f>(Q22+U29)/2</f>
        <v>113.61734417836166</v>
      </c>
      <c r="U23"/>
      <c r="V23" s="337"/>
      <c r="Z23"/>
      <c r="AA23"/>
      <c r="AB23"/>
      <c r="AC23"/>
      <c r="AD23"/>
    </row>
    <row r="24" spans="1:33" ht="12.75" customHeight="1" x14ac:dyDescent="0.2">
      <c r="A24" s="368" t="s">
        <v>461</v>
      </c>
      <c r="B24" s="324">
        <v>34813.270264493105</v>
      </c>
      <c r="C24" s="369">
        <f>C18</f>
        <v>117.04053975491173</v>
      </c>
      <c r="D24" s="373">
        <f>O$6</f>
        <v>104.38908659549229</v>
      </c>
      <c r="E24" s="322">
        <f t="shared" si="2"/>
        <v>112.11951706067111</v>
      </c>
      <c r="F24" s="324">
        <f>G24/D24*100</f>
        <v>39032.470493575893</v>
      </c>
      <c r="G24" s="371">
        <f>B24*C24/100</f>
        <v>40745.639423898916</v>
      </c>
      <c r="H24" s="325"/>
      <c r="I24"/>
      <c r="K24"/>
      <c r="L24"/>
      <c r="N24" s="374" t="s">
        <v>474</v>
      </c>
      <c r="O24" s="337"/>
      <c r="P24" s="337"/>
      <c r="Q24" s="337"/>
      <c r="R24" s="337"/>
      <c r="S24" s="375"/>
      <c r="T24"/>
      <c r="U24" s="339" t="s">
        <v>473</v>
      </c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2.75" customHeight="1" x14ac:dyDescent="0.2">
      <c r="A25" s="328" t="s">
        <v>451</v>
      </c>
      <c r="B25" s="321">
        <v>19437.410434929261</v>
      </c>
      <c r="C25" s="322">
        <f>G25/B25*100</f>
        <v>115.52997025736281</v>
      </c>
      <c r="D25" s="322">
        <f>G25/F25*100</f>
        <v>104.00423026960213</v>
      </c>
      <c r="E25" s="322">
        <f t="shared" si="2"/>
        <v>111.08199152850165</v>
      </c>
      <c r="F25" s="324">
        <f>SUM(F26,F29,F32)</f>
        <v>21591.462612688218</v>
      </c>
      <c r="G25" s="321">
        <f>SUM(G26,G29,G32)</f>
        <v>22456.034494275307</v>
      </c>
      <c r="H25" s="325"/>
      <c r="I25"/>
      <c r="K25"/>
      <c r="L25"/>
      <c r="N25" s="376"/>
      <c r="O25" s="377" t="s">
        <v>475</v>
      </c>
      <c r="P25" s="378" t="s">
        <v>476</v>
      </c>
      <c r="Q25" s="379" t="s">
        <v>477</v>
      </c>
      <c r="R25" s="379" t="s">
        <v>478</v>
      </c>
      <c r="S25" s="379" t="s">
        <v>479</v>
      </c>
      <c r="T25" s="380" t="s">
        <v>480</v>
      </c>
      <c r="U25" s="380" t="s">
        <v>481</v>
      </c>
      <c r="V25" s="380"/>
      <c r="W25"/>
      <c r="X25"/>
      <c r="Y25"/>
      <c r="Z25"/>
      <c r="AA25"/>
      <c r="AB25"/>
      <c r="AC25"/>
      <c r="AD25"/>
      <c r="AE25"/>
      <c r="AF25"/>
      <c r="AG25"/>
    </row>
    <row r="26" spans="1:33" ht="12.75" customHeight="1" x14ac:dyDescent="0.2">
      <c r="A26" s="330" t="s">
        <v>95</v>
      </c>
      <c r="B26" s="321">
        <v>10022.956958477585</v>
      </c>
      <c r="C26" s="322">
        <f>G26/B26*100</f>
        <v>117.01393130810389</v>
      </c>
      <c r="D26" s="322">
        <f>G26/F26*100+0</f>
        <v>103.6546806668444</v>
      </c>
      <c r="E26" s="322">
        <f t="shared" si="2"/>
        <v>112.88822709723773</v>
      </c>
      <c r="F26" s="324">
        <f>SUM(F27:F28)</f>
        <v>11314.738413144569</v>
      </c>
      <c r="G26" s="321">
        <f>SUM(G27:G28)</f>
        <v>11728.25597043378</v>
      </c>
      <c r="H26" s="325"/>
      <c r="I26"/>
      <c r="K26"/>
      <c r="L26"/>
      <c r="N26" s="381"/>
      <c r="O26" s="382" t="s">
        <v>95</v>
      </c>
      <c r="P26" s="383" t="s">
        <v>482</v>
      </c>
      <c r="Q26" s="384">
        <v>41.371215746058461</v>
      </c>
      <c r="R26" s="385">
        <v>35.970305702645057</v>
      </c>
      <c r="S26" s="384">
        <v>41.874960406536985</v>
      </c>
      <c r="T26" s="386">
        <f t="shared" ref="T26:U31" si="3">R26/Q26*100</f>
        <v>86.945246964544523</v>
      </c>
      <c r="U26" s="387">
        <f>S26/R26*100</f>
        <v>116.4153586925388</v>
      </c>
      <c r="V26" s="387"/>
      <c r="W26"/>
      <c r="X26"/>
      <c r="Y26"/>
      <c r="Z26"/>
      <c r="AA26"/>
      <c r="AB26"/>
      <c r="AC26"/>
      <c r="AD26"/>
      <c r="AE26"/>
      <c r="AF26"/>
      <c r="AG26"/>
    </row>
    <row r="27" spans="1:33" ht="12.75" customHeight="1" x14ac:dyDescent="0.2">
      <c r="A27" s="368" t="s">
        <v>459</v>
      </c>
      <c r="B27" s="324">
        <v>3387</v>
      </c>
      <c r="C27" s="322">
        <f>C17</f>
        <v>116.95950572392188</v>
      </c>
      <c r="D27" s="370">
        <f>D17</f>
        <v>102.24441378733722</v>
      </c>
      <c r="E27" s="322">
        <f t="shared" si="2"/>
        <v>114.39431706364032</v>
      </c>
      <c r="F27" s="324">
        <f>G27/D27*100</f>
        <v>3874.5355189454976</v>
      </c>
      <c r="G27" s="324">
        <f>G17-G23</f>
        <v>3961.4961283279881</v>
      </c>
      <c r="H27" s="325"/>
      <c r="I27"/>
      <c r="K27"/>
      <c r="L27"/>
      <c r="N27" s="388" t="s">
        <v>469</v>
      </c>
      <c r="O27" s="382"/>
      <c r="P27" s="383" t="s">
        <v>483</v>
      </c>
      <c r="Q27" s="384">
        <v>45.792231493136093</v>
      </c>
      <c r="R27" s="384">
        <v>42.426536507861215</v>
      </c>
      <c r="S27" s="384">
        <v>51.804607866161362</v>
      </c>
      <c r="T27" s="386">
        <f t="shared" si="3"/>
        <v>92.650074312758989</v>
      </c>
      <c r="U27" s="387">
        <f>S27/R27*100</f>
        <v>122.10425863200614</v>
      </c>
      <c r="V27" s="387"/>
      <c r="W27"/>
      <c r="X27"/>
      <c r="Y27"/>
      <c r="Z27"/>
      <c r="AA27"/>
      <c r="AB27"/>
      <c r="AC27"/>
      <c r="AD27"/>
      <c r="AE27"/>
      <c r="AF27"/>
      <c r="AG27"/>
    </row>
    <row r="28" spans="1:33" ht="12.75" customHeight="1" x14ac:dyDescent="0.2">
      <c r="A28" s="368" t="s">
        <v>461</v>
      </c>
      <c r="B28" s="324">
        <v>6635.9569584775854</v>
      </c>
      <c r="C28" s="322">
        <f>C18</f>
        <v>117.04053975491173</v>
      </c>
      <c r="D28" s="373">
        <f t="shared" ref="D28:D34" si="4">O$6</f>
        <v>104.38908659549229</v>
      </c>
      <c r="E28" s="322">
        <f t="shared" si="2"/>
        <v>112.11951706067116</v>
      </c>
      <c r="F28" s="324">
        <f>G28/D28*100</f>
        <v>7440.2028941990711</v>
      </c>
      <c r="G28" s="324">
        <f>G18-G24</f>
        <v>7766.7598421057919</v>
      </c>
      <c r="H28" s="325"/>
      <c r="I28"/>
      <c r="K28"/>
      <c r="L28"/>
      <c r="N28" s="388" t="s">
        <v>484</v>
      </c>
      <c r="O28" s="382"/>
      <c r="P28" s="389" t="s">
        <v>126</v>
      </c>
      <c r="Q28" s="390">
        <f>SUM(Q26:Q27)</f>
        <v>87.163447239194554</v>
      </c>
      <c r="R28" s="390">
        <f>SUM(R26:R27)</f>
        <v>78.396842210506264</v>
      </c>
      <c r="S28" s="390">
        <f>SUM(S26:S27)</f>
        <v>93.679568272698347</v>
      </c>
      <c r="T28" s="390">
        <f t="shared" si="3"/>
        <v>89.942337864826627</v>
      </c>
      <c r="U28" s="390">
        <f t="shared" si="3"/>
        <v>119.4940582187684</v>
      </c>
      <c r="W28"/>
      <c r="X28"/>
      <c r="Y28"/>
      <c r="Z28"/>
      <c r="AA28"/>
      <c r="AB28"/>
      <c r="AC28"/>
      <c r="AD28"/>
      <c r="AE28"/>
      <c r="AF28"/>
      <c r="AG28"/>
    </row>
    <row r="29" spans="1:33" ht="12.75" customHeight="1" x14ac:dyDescent="0.2">
      <c r="A29" s="330" t="s">
        <v>445</v>
      </c>
      <c r="B29" s="321">
        <v>8911.5710684946589</v>
      </c>
      <c r="C29" s="322">
        <f>G29/B29*100</f>
        <v>114.20128682529889</v>
      </c>
      <c r="D29" s="322">
        <f t="shared" si="4"/>
        <v>104.38908659549229</v>
      </c>
      <c r="E29" s="322">
        <f t="shared" si="2"/>
        <v>109.39964181105337</v>
      </c>
      <c r="F29" s="324">
        <f>SUM(F30:F31)</f>
        <v>9749.2268286706185</v>
      </c>
      <c r="G29" s="321">
        <f>SUM(G30:G31)</f>
        <v>10177.128836571937</v>
      </c>
      <c r="H29" s="325"/>
      <c r="I29"/>
      <c r="K29"/>
      <c r="L29" s="391" t="s">
        <v>485</v>
      </c>
      <c r="N29" s="381"/>
      <c r="O29" s="382" t="s">
        <v>486</v>
      </c>
      <c r="P29" s="383" t="s">
        <v>482</v>
      </c>
      <c r="Q29" s="384">
        <v>16.741612281294138</v>
      </c>
      <c r="R29" s="384">
        <v>14.354042829783841</v>
      </c>
      <c r="S29" s="384">
        <v>16.243707834915476</v>
      </c>
      <c r="T29" s="386">
        <f t="shared" si="3"/>
        <v>85.738712548145713</v>
      </c>
      <c r="U29" s="387">
        <f t="shared" si="3"/>
        <v>113.16468835672333</v>
      </c>
      <c r="V29" s="387"/>
      <c r="W29"/>
      <c r="X29"/>
      <c r="Y29"/>
      <c r="Z29"/>
      <c r="AA29"/>
      <c r="AB29"/>
      <c r="AC29"/>
      <c r="AD29"/>
      <c r="AE29"/>
      <c r="AF29"/>
      <c r="AG29"/>
    </row>
    <row r="30" spans="1:33" ht="12.75" customHeight="1" x14ac:dyDescent="0.2">
      <c r="A30" s="368" t="s">
        <v>459</v>
      </c>
      <c r="B30" s="324">
        <v>2824</v>
      </c>
      <c r="C30" s="341">
        <f>R37+3.3</f>
        <v>114.05682087781732</v>
      </c>
      <c r="D30" s="373">
        <f t="shared" si="4"/>
        <v>104.38908659549229</v>
      </c>
      <c r="E30" s="322">
        <f t="shared" si="2"/>
        <v>109.26125</v>
      </c>
      <c r="F30" s="324">
        <f>G30/D30*100</f>
        <v>3085.5376999999999</v>
      </c>
      <c r="G30" s="324">
        <f>B30*C30/100</f>
        <v>3220.9646215895609</v>
      </c>
      <c r="H30" s="325"/>
      <c r="I30" s="306"/>
      <c r="K30" s="306"/>
      <c r="L30" s="342">
        <f>(G30+G51+G74)/(G30+G31+G52+G51+G75+G74)</f>
        <v>0.32085296640929273</v>
      </c>
      <c r="N30" s="392"/>
      <c r="O30" s="393"/>
      <c r="P30" s="394" t="s">
        <v>483</v>
      </c>
      <c r="Q30" s="384">
        <v>4.8129810315720194</v>
      </c>
      <c r="R30" s="385">
        <v>2.9886290140128011</v>
      </c>
      <c r="S30" s="384">
        <v>2.951363180692844</v>
      </c>
      <c r="T30" s="386">
        <f t="shared" si="3"/>
        <v>62.095175410168878</v>
      </c>
      <c r="U30" s="387">
        <f t="shared" si="3"/>
        <v>98.753079316796146</v>
      </c>
      <c r="V30" s="387"/>
      <c r="W30"/>
      <c r="X30"/>
      <c r="Y30"/>
      <c r="Z30"/>
      <c r="AA30"/>
      <c r="AB30"/>
      <c r="AC30"/>
      <c r="AD30"/>
      <c r="AE30"/>
      <c r="AF30"/>
      <c r="AG30"/>
    </row>
    <row r="31" spans="1:33" ht="12.75" customHeight="1" x14ac:dyDescent="0.2">
      <c r="A31" s="368" t="s">
        <v>461</v>
      </c>
      <c r="B31" s="331">
        <v>6064.2986718217044</v>
      </c>
      <c r="C31" s="341">
        <f>R37+3.95</f>
        <v>114.70682087781732</v>
      </c>
      <c r="D31" s="373">
        <f t="shared" si="4"/>
        <v>104.38908659549229</v>
      </c>
      <c r="E31" s="322">
        <f t="shared" si="2"/>
        <v>109.88392045454547</v>
      </c>
      <c r="F31" s="324">
        <f>G31/D31*100</f>
        <v>6663.6891286706186</v>
      </c>
      <c r="G31" s="331">
        <f>B31*C31/100</f>
        <v>6956.1642149823774</v>
      </c>
      <c r="H31" s="325"/>
      <c r="I31" s="306"/>
      <c r="K31" s="306"/>
      <c r="L31" s="333"/>
      <c r="N31" s="395"/>
      <c r="O31" s="395"/>
      <c r="P31" s="396" t="s">
        <v>126</v>
      </c>
      <c r="Q31" s="390">
        <f>SUM(Q29:Q30)</f>
        <v>21.554593312866157</v>
      </c>
      <c r="R31" s="390">
        <f>SUM(R29:R30)</f>
        <v>17.342671843796644</v>
      </c>
      <c r="S31" s="390">
        <f>SUM(S29:S30)</f>
        <v>19.19507101560832</v>
      </c>
      <c r="T31" s="390">
        <f t="shared" si="3"/>
        <v>80.459285833264261</v>
      </c>
      <c r="U31" s="397">
        <f t="shared" si="3"/>
        <v>110.68116371281202</v>
      </c>
      <c r="W31"/>
      <c r="X31"/>
      <c r="Y31"/>
      <c r="Z31"/>
      <c r="AA31"/>
      <c r="AB31"/>
      <c r="AC31"/>
      <c r="AD31"/>
      <c r="AE31"/>
      <c r="AF31"/>
      <c r="AG31"/>
    </row>
    <row r="32" spans="1:33" ht="12.75" customHeight="1" x14ac:dyDescent="0.2">
      <c r="A32" s="330" t="s">
        <v>104</v>
      </c>
      <c r="B32" s="321">
        <v>502.88240795701893</v>
      </c>
      <c r="C32" s="322">
        <f>G32/B32*100</f>
        <v>109.49869761931608</v>
      </c>
      <c r="D32" s="373">
        <f t="shared" si="4"/>
        <v>104.38908659549229</v>
      </c>
      <c r="E32" s="322">
        <f t="shared" si="2"/>
        <v>104.89477510577665</v>
      </c>
      <c r="F32" s="324">
        <f>SUM(F33:F34)</f>
        <v>527.49737087302924</v>
      </c>
      <c r="G32" s="321">
        <f>SUM(G33:G34)</f>
        <v>550.6496872695916</v>
      </c>
      <c r="H32" s="325"/>
      <c r="I32"/>
      <c r="K32"/>
      <c r="L32" s="391" t="s">
        <v>487</v>
      </c>
      <c r="N32" s="337"/>
      <c r="O32" s="398" t="s">
        <v>488</v>
      </c>
      <c r="P32" s="361"/>
      <c r="Q32" s="361"/>
      <c r="R32" s="361"/>
      <c r="S32"/>
      <c r="T32" s="337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2" ht="12.75" customHeight="1" x14ac:dyDescent="0.2">
      <c r="A33" s="368" t="s">
        <v>459</v>
      </c>
      <c r="B33" s="324">
        <v>188.8824079570189</v>
      </c>
      <c r="C33" s="341">
        <f>C$30</f>
        <v>114.05682087781732</v>
      </c>
      <c r="D33" s="373">
        <f t="shared" si="4"/>
        <v>104.38908659549229</v>
      </c>
      <c r="E33" s="322">
        <f t="shared" si="2"/>
        <v>109.26125</v>
      </c>
      <c r="F33" s="324">
        <f>G33/D33*100</f>
        <v>206.37527996393831</v>
      </c>
      <c r="G33" s="324">
        <f>B33*C33/100</f>
        <v>215.43326971324521</v>
      </c>
      <c r="H33" s="325"/>
      <c r="I33"/>
      <c r="K33"/>
      <c r="L33" s="342">
        <f>(G33+G54+G77)/(G33+G34+G54+G55+G77+G78)</f>
        <v>0.33936782906522001</v>
      </c>
      <c r="O33" s="399"/>
      <c r="P33" s="344"/>
      <c r="Q33" s="400"/>
      <c r="R33" s="401" t="s">
        <v>489</v>
      </c>
      <c r="S33" s="402"/>
      <c r="T33" s="337"/>
      <c r="U33"/>
      <c r="V33"/>
      <c r="W33"/>
      <c r="X33"/>
      <c r="Y33"/>
      <c r="Z33"/>
      <c r="AA33"/>
      <c r="AB33"/>
      <c r="AC33"/>
      <c r="AD33"/>
      <c r="AE33"/>
    </row>
    <row r="34" spans="1:32" ht="12.75" customHeight="1" x14ac:dyDescent="0.2">
      <c r="A34" s="368" t="s">
        <v>461</v>
      </c>
      <c r="B34" s="324">
        <v>314</v>
      </c>
      <c r="C34" s="341">
        <f>R37-4</f>
        <v>106.75682087781732</v>
      </c>
      <c r="D34" s="373">
        <f t="shared" si="4"/>
        <v>104.38908659549229</v>
      </c>
      <c r="E34" s="322">
        <f t="shared" si="2"/>
        <v>102.26818181818183</v>
      </c>
      <c r="F34" s="324">
        <f>G34/D34*100</f>
        <v>321.1220909090909</v>
      </c>
      <c r="G34" s="324">
        <f>B34*C34/100</f>
        <v>335.21641755634636</v>
      </c>
      <c r="H34" s="325"/>
      <c r="I34"/>
      <c r="K34" s="306"/>
      <c r="L34" s="333"/>
      <c r="N34" s="403" t="s">
        <v>469</v>
      </c>
      <c r="O34" s="404"/>
      <c r="P34" s="337"/>
      <c r="Q34" s="405" t="s">
        <v>436</v>
      </c>
      <c r="R34" s="406" t="s">
        <v>434</v>
      </c>
      <c r="S34" s="407" t="s">
        <v>435</v>
      </c>
      <c r="T34" s="337"/>
      <c r="U34"/>
      <c r="V34"/>
      <c r="W34"/>
      <c r="X34"/>
      <c r="Y34"/>
      <c r="Z34"/>
      <c r="AA34"/>
      <c r="AB34"/>
      <c r="AC34"/>
      <c r="AD34"/>
      <c r="AE34"/>
    </row>
    <row r="35" spans="1:32" ht="12.75" customHeight="1" x14ac:dyDescent="0.2">
      <c r="A35" s="408" t="s">
        <v>490</v>
      </c>
      <c r="B35" s="321">
        <v>102316.63621889833</v>
      </c>
      <c r="C35" s="322">
        <f t="shared" ref="C35:C44" si="5">G35/B35*100</f>
        <v>116.96027029538809</v>
      </c>
      <c r="D35" s="322">
        <f t="shared" ref="D35:D44" si="6">G35/F35*100</f>
        <v>104.03237321779054</v>
      </c>
      <c r="E35" s="322">
        <f t="shared" si="2"/>
        <v>112.42680204029681</v>
      </c>
      <c r="F35" s="324">
        <f>SUM(F36:F38)</f>
        <v>115031.32205611144</v>
      </c>
      <c r="G35" s="321">
        <f>SUM(G36:G38)</f>
        <v>119669.81427877245</v>
      </c>
      <c r="H35" s="325"/>
      <c r="I35"/>
      <c r="J35"/>
      <c r="K35"/>
      <c r="L35"/>
      <c r="N35" s="409" t="s">
        <v>491</v>
      </c>
      <c r="O35" s="404"/>
      <c r="P35" s="410" t="s">
        <v>492</v>
      </c>
      <c r="Q35" s="411">
        <v>124.1</v>
      </c>
      <c r="R35" s="412">
        <f>Q35*S35/100</f>
        <v>129.91691373711706</v>
      </c>
      <c r="S35" s="413">
        <f>O5</f>
        <v>104.68727940138361</v>
      </c>
      <c r="T35" s="414"/>
      <c r="U35"/>
      <c r="V35"/>
      <c r="W35"/>
      <c r="X35"/>
      <c r="Y35"/>
      <c r="Z35"/>
      <c r="AA35"/>
      <c r="AB35"/>
      <c r="AC35"/>
      <c r="AD35"/>
      <c r="AE35"/>
    </row>
    <row r="36" spans="1:32" ht="12.75" customHeight="1" x14ac:dyDescent="0.2">
      <c r="A36" s="326" t="s">
        <v>443</v>
      </c>
      <c r="B36" s="321">
        <v>81825.228282956479</v>
      </c>
      <c r="C36" s="322">
        <f t="shared" si="5"/>
        <v>117.34933303019342</v>
      </c>
      <c r="D36" s="322">
        <f t="shared" si="6"/>
        <v>103.90523875833915</v>
      </c>
      <c r="E36" s="322">
        <f t="shared" si="2"/>
        <v>112.93880311763903</v>
      </c>
      <c r="F36" s="324">
        <f>SUM(F6,F16)</f>
        <v>92412.433471046897</v>
      </c>
      <c r="G36" s="321">
        <f>SUM(G6,G16)</f>
        <v>96021.359640482609</v>
      </c>
      <c r="H36" s="325"/>
      <c r="I36"/>
      <c r="J36"/>
      <c r="K36"/>
      <c r="L36"/>
      <c r="N36" s="415" t="s">
        <v>493</v>
      </c>
      <c r="O36" s="404"/>
      <c r="P36" s="410" t="s">
        <v>494</v>
      </c>
      <c r="Q36" s="411">
        <v>115.7</v>
      </c>
      <c r="R36" s="412">
        <f>Q36*S36/100</f>
        <v>120.11732745961825</v>
      </c>
      <c r="S36" s="413">
        <f>O$9</f>
        <v>103.81791483113072</v>
      </c>
      <c r="T36" s="337"/>
      <c r="U36"/>
      <c r="V36"/>
      <c r="W36"/>
      <c r="X36"/>
      <c r="Y36"/>
      <c r="Z36"/>
      <c r="AA36"/>
      <c r="AB36"/>
      <c r="AC36"/>
      <c r="AD36"/>
      <c r="AE36"/>
    </row>
    <row r="37" spans="1:32" ht="12.75" customHeight="1" x14ac:dyDescent="0.2">
      <c r="A37" s="326" t="s">
        <v>445</v>
      </c>
      <c r="B37" s="321">
        <v>19298.525527984835</v>
      </c>
      <c r="C37" s="322">
        <f t="shared" si="5"/>
        <v>115.8533174403138</v>
      </c>
      <c r="D37" s="322">
        <f t="shared" si="6"/>
        <v>104.55133406542794</v>
      </c>
      <c r="E37" s="322">
        <f t="shared" si="2"/>
        <v>110.80998485185573</v>
      </c>
      <c r="F37" s="324">
        <f>SUM(F7,F19)</f>
        <v>21384.693214191509</v>
      </c>
      <c r="G37" s="321">
        <f>SUM(G7,G19)</f>
        <v>22357.982041236264</v>
      </c>
      <c r="H37" s="325"/>
      <c r="I37"/>
      <c r="J37"/>
      <c r="K37"/>
      <c r="L37"/>
      <c r="O37" s="404"/>
      <c r="P37" s="381" t="s">
        <v>495</v>
      </c>
      <c r="Q37" s="416">
        <v>106.1</v>
      </c>
      <c r="R37" s="412">
        <f>Q37*S37/100</f>
        <v>110.75682087781732</v>
      </c>
      <c r="S37" s="413">
        <f>O$6</f>
        <v>104.38908659549229</v>
      </c>
      <c r="T37" s="337"/>
      <c r="U37"/>
      <c r="V37"/>
      <c r="W37"/>
      <c r="X37"/>
      <c r="Y37"/>
      <c r="Z37"/>
      <c r="AA37"/>
      <c r="AB37"/>
      <c r="AC37"/>
      <c r="AD37"/>
      <c r="AE37"/>
    </row>
    <row r="38" spans="1:32" ht="12.75" customHeight="1" x14ac:dyDescent="0.2">
      <c r="A38" s="326" t="s">
        <v>104</v>
      </c>
      <c r="B38" s="321">
        <v>1192.882407957019</v>
      </c>
      <c r="C38" s="322">
        <f t="shared" si="5"/>
        <v>108.18104018012131</v>
      </c>
      <c r="D38" s="322">
        <f t="shared" si="6"/>
        <v>104.5598312478472</v>
      </c>
      <c r="E38" s="322">
        <f t="shared" si="2"/>
        <v>103.46328880704718</v>
      </c>
      <c r="F38" s="324">
        <f>SUM(F8,F20)</f>
        <v>1234.1953708730293</v>
      </c>
      <c r="G38" s="321">
        <f>SUM(G8,G20)</f>
        <v>1290.4725970535815</v>
      </c>
      <c r="H38" s="325"/>
      <c r="I38"/>
      <c r="J38"/>
      <c r="K38"/>
      <c r="L38"/>
      <c r="N38" s="417"/>
      <c r="O38" s="418"/>
      <c r="P38" s="381" t="s">
        <v>496</v>
      </c>
      <c r="Q38" s="416">
        <v>106.1</v>
      </c>
      <c r="R38" s="412">
        <f>Q38*S38/100</f>
        <v>108.53768414624841</v>
      </c>
      <c r="S38" s="413">
        <f>O10</f>
        <v>102.29753453934818</v>
      </c>
      <c r="T38" s="337"/>
      <c r="U38"/>
      <c r="V38"/>
      <c r="W38"/>
      <c r="X38"/>
      <c r="Y38"/>
      <c r="Z38"/>
      <c r="AA38"/>
      <c r="AB38"/>
      <c r="AC38"/>
      <c r="AD38"/>
      <c r="AE38"/>
    </row>
    <row r="39" spans="1:32" ht="12.75" customHeight="1" x14ac:dyDescent="0.2">
      <c r="A39" s="419" t="s">
        <v>448</v>
      </c>
      <c r="B39" s="321">
        <v>68487.646489542807</v>
      </c>
      <c r="C39" s="322">
        <f t="shared" si="5"/>
        <v>117.6150228125951</v>
      </c>
      <c r="D39" s="322">
        <f t="shared" si="6"/>
        <v>103.90575628954058</v>
      </c>
      <c r="E39" s="322">
        <f t="shared" si="2"/>
        <v>113.19394325455147</v>
      </c>
      <c r="F39" s="324">
        <f>F40</f>
        <v>77523.867703750904</v>
      </c>
      <c r="G39" s="321">
        <f>G40</f>
        <v>80551.761042485261</v>
      </c>
      <c r="H39" s="325"/>
      <c r="N39" s="420"/>
      <c r="O39" s="418"/>
      <c r="P39" s="421" t="s">
        <v>497</v>
      </c>
      <c r="Q39" s="411"/>
      <c r="R39" s="412">
        <f>Q39*S39/100</f>
        <v>0</v>
      </c>
      <c r="S39" s="413">
        <f>O$6</f>
        <v>104.38908659549229</v>
      </c>
      <c r="T39" s="337"/>
      <c r="U39"/>
      <c r="V39"/>
      <c r="W39"/>
      <c r="X39"/>
      <c r="Y39"/>
      <c r="Z39"/>
      <c r="AA39"/>
      <c r="AB39"/>
      <c r="AC39"/>
      <c r="AD39"/>
      <c r="AE39"/>
    </row>
    <row r="40" spans="1:32" ht="12.75" customHeight="1" x14ac:dyDescent="0.2">
      <c r="A40" s="326" t="s">
        <v>95</v>
      </c>
      <c r="B40" s="321">
        <v>68487.646489542807</v>
      </c>
      <c r="C40" s="322">
        <f t="shared" si="5"/>
        <v>117.6150228125951</v>
      </c>
      <c r="D40" s="322">
        <f t="shared" si="6"/>
        <v>103.90575628954058</v>
      </c>
      <c r="E40" s="322">
        <f t="shared" si="2"/>
        <v>113.19394325455147</v>
      </c>
      <c r="F40" s="324">
        <f>SUM(F10,F22)</f>
        <v>77523.867703750904</v>
      </c>
      <c r="G40" s="321">
        <f>SUM(G10,G22)</f>
        <v>80551.761042485261</v>
      </c>
      <c r="H40" s="325"/>
      <c r="O40" s="422"/>
      <c r="P40" s="423" t="s">
        <v>132</v>
      </c>
      <c r="Q40" s="424">
        <v>112.2</v>
      </c>
      <c r="R40" s="425"/>
      <c r="S40" s="426"/>
      <c r="T40" s="372" t="s">
        <v>498</v>
      </c>
      <c r="U40"/>
      <c r="V40"/>
      <c r="W40"/>
      <c r="X40"/>
      <c r="Y40"/>
      <c r="Z40"/>
      <c r="AA40"/>
      <c r="AB40"/>
      <c r="AC40"/>
      <c r="AD40"/>
      <c r="AE40"/>
    </row>
    <row r="41" spans="1:32" ht="12.75" customHeight="1" x14ac:dyDescent="0.2">
      <c r="A41" s="419" t="s">
        <v>451</v>
      </c>
      <c r="B41" s="321">
        <v>33828.988669369741</v>
      </c>
      <c r="C41" s="322">
        <f t="shared" si="5"/>
        <v>115.63471086472768</v>
      </c>
      <c r="D41" s="322">
        <f t="shared" si="6"/>
        <v>104.29407676883649</v>
      </c>
      <c r="E41" s="322">
        <f t="shared" si="2"/>
        <v>110.87370869682968</v>
      </c>
      <c r="F41" s="324">
        <f>SUM(F42:F44)</f>
        <v>37507.454352360524</v>
      </c>
      <c r="G41" s="321">
        <f>SUM(G42:G44)</f>
        <v>39118.053236287189</v>
      </c>
      <c r="H41" s="325"/>
      <c r="S41" s="337"/>
      <c r="T41" s="337"/>
      <c r="Y41"/>
      <c r="Z41"/>
      <c r="AA41"/>
      <c r="AB41"/>
      <c r="AC41"/>
      <c r="AD41"/>
      <c r="AE41"/>
    </row>
    <row r="42" spans="1:32" ht="12.75" customHeight="1" x14ac:dyDescent="0.2">
      <c r="A42" s="326" t="s">
        <v>443</v>
      </c>
      <c r="B42" s="321">
        <v>13337.580733427887</v>
      </c>
      <c r="C42" s="322">
        <f t="shared" si="5"/>
        <v>115.98504186914498</v>
      </c>
      <c r="D42" s="322">
        <f t="shared" si="6"/>
        <v>103.90254400445778</v>
      </c>
      <c r="E42" s="322">
        <f t="shared" si="2"/>
        <v>111.62868337869457</v>
      </c>
      <c r="F42" s="324">
        <f>SUM(F12,F26)</f>
        <v>14888.565767295986</v>
      </c>
      <c r="G42" s="321">
        <f>SUM(G12,G26)</f>
        <v>15469.598597997348</v>
      </c>
      <c r="H42" s="325"/>
      <c r="I42" s="305" t="s">
        <v>1068</v>
      </c>
      <c r="J42" s="306">
        <f>G46+'synthèse 41B'!H36</f>
        <v>31550.054436623119</v>
      </c>
      <c r="K42" s="305">
        <f>J42/J43</f>
        <v>1.0710169830108509</v>
      </c>
      <c r="N42" s="427" t="s">
        <v>499</v>
      </c>
      <c r="O42" s="395"/>
      <c r="P42" s="428" t="s">
        <v>500</v>
      </c>
      <c r="Q42"/>
      <c r="R42"/>
      <c r="S42" s="395"/>
      <c r="W42"/>
      <c r="X42"/>
      <c r="Y42"/>
      <c r="Z42"/>
      <c r="AA42"/>
      <c r="AB42" s="429"/>
      <c r="AC42" s="337"/>
      <c r="AD42"/>
      <c r="AE42"/>
    </row>
    <row r="43" spans="1:32" ht="12.75" customHeight="1" x14ac:dyDescent="0.2">
      <c r="A43" s="326" t="s">
        <v>445</v>
      </c>
      <c r="B43" s="321">
        <v>19298.525527984835</v>
      </c>
      <c r="C43" s="322">
        <f t="shared" si="5"/>
        <v>115.8533174403138</v>
      </c>
      <c r="D43" s="322">
        <f t="shared" si="6"/>
        <v>104.55133406542794</v>
      </c>
      <c r="E43" s="322">
        <f t="shared" si="2"/>
        <v>110.80998485185573</v>
      </c>
      <c r="F43" s="324">
        <f>SUM(F13,F29)</f>
        <v>21384.693214191509</v>
      </c>
      <c r="G43" s="321">
        <f>SUM(G13,G29)</f>
        <v>22357.982041236264</v>
      </c>
      <c r="H43" s="325"/>
      <c r="I43" s="305" t="s">
        <v>392</v>
      </c>
      <c r="J43" s="306">
        <f>G52+G55+'synthèse 41B'!H39</f>
        <v>29458.033753983407</v>
      </c>
      <c r="N43" s="337"/>
      <c r="O43" s="395"/>
      <c r="P43" s="395" t="s">
        <v>501</v>
      </c>
      <c r="Q43" s="430" t="s">
        <v>502</v>
      </c>
      <c r="R43" s="395" t="s">
        <v>503</v>
      </c>
      <c r="S43" s="395" t="s">
        <v>504</v>
      </c>
      <c r="V43"/>
      <c r="W43"/>
      <c r="X43"/>
      <c r="Y43"/>
      <c r="Z43"/>
      <c r="AA43"/>
      <c r="AB43"/>
      <c r="AC43" s="337"/>
      <c r="AD43" s="337"/>
      <c r="AE43"/>
    </row>
    <row r="44" spans="1:32" ht="12.75" customHeight="1" x14ac:dyDescent="0.2">
      <c r="A44" s="326" t="s">
        <v>104</v>
      </c>
      <c r="B44" s="321">
        <v>1192.882407957019</v>
      </c>
      <c r="C44" s="322">
        <f t="shared" si="5"/>
        <v>108.18104018012131</v>
      </c>
      <c r="D44" s="322">
        <f t="shared" si="6"/>
        <v>104.5598312478472</v>
      </c>
      <c r="E44" s="322">
        <f t="shared" si="2"/>
        <v>103.46328880704718</v>
      </c>
      <c r="F44" s="324">
        <f>SUM(F14,F32)</f>
        <v>1234.1953708730293</v>
      </c>
      <c r="G44" s="321">
        <f>SUM(G14,G32)</f>
        <v>1290.4725970535815</v>
      </c>
      <c r="H44" s="325"/>
      <c r="N44" s="431" t="s">
        <v>469</v>
      </c>
      <c r="O44" s="432" t="s">
        <v>505</v>
      </c>
      <c r="P44" s="433">
        <v>103.19462299008009</v>
      </c>
      <c r="Q44" s="433">
        <v>100.6</v>
      </c>
      <c r="R44" s="433">
        <v>110.3</v>
      </c>
      <c r="S44" s="433"/>
      <c r="V44"/>
      <c r="W44"/>
      <c r="X44"/>
      <c r="Y44"/>
      <c r="Z44"/>
      <c r="AA44"/>
      <c r="AB44"/>
      <c r="AC44" s="337"/>
      <c r="AD44" s="337"/>
      <c r="AE44"/>
    </row>
    <row r="45" spans="1:32" ht="12.75" customHeight="1" x14ac:dyDescent="0.25">
      <c r="A45" s="316" t="s">
        <v>506</v>
      </c>
      <c r="B45" s="324"/>
      <c r="C45" s="369"/>
      <c r="D45" s="369"/>
      <c r="E45" s="369"/>
      <c r="F45" s="324"/>
      <c r="G45" s="324"/>
      <c r="H45" s="325"/>
      <c r="I45" s="705" t="s">
        <v>1067</v>
      </c>
      <c r="J45" s="705"/>
      <c r="K45" s="706">
        <f>(G46+'synthèse 41B'!H36)/(G52+G55+'synthèse 41B'!H39)</f>
        <v>1.0710169830108509</v>
      </c>
      <c r="N45" s="434" t="s">
        <v>491</v>
      </c>
      <c r="O45" s="432" t="s">
        <v>507</v>
      </c>
      <c r="P45" s="433">
        <v>105.79566550758277</v>
      </c>
      <c r="Q45" s="433">
        <v>109.4</v>
      </c>
      <c r="R45" s="433">
        <v>94</v>
      </c>
      <c r="S45" s="433"/>
      <c r="V45"/>
      <c r="W45"/>
      <c r="X45"/>
      <c r="Y45"/>
      <c r="Z45"/>
      <c r="AA45"/>
      <c r="AB45"/>
      <c r="AC45" s="337"/>
      <c r="AD45"/>
      <c r="AE45"/>
    </row>
    <row r="46" spans="1:32" ht="12.75" customHeight="1" x14ac:dyDescent="0.2">
      <c r="A46" s="320" t="s">
        <v>441</v>
      </c>
      <c r="B46" s="321">
        <v>16615.072861123539</v>
      </c>
      <c r="C46" s="322">
        <f>G46/B46*100</f>
        <v>122.50753442610977</v>
      </c>
      <c r="D46" s="323">
        <f>O$9</f>
        <v>103.81791483113072</v>
      </c>
      <c r="E46" s="322">
        <f>F46/B46*100</f>
        <v>118.00230685174078</v>
      </c>
      <c r="F46" s="324">
        <f>SUM(F47:F48)</f>
        <v>19606.169261223306</v>
      </c>
      <c r="G46" s="321">
        <f>SUM(G47:G48)</f>
        <v>20354.716105264142</v>
      </c>
      <c r="H46" s="325"/>
      <c r="N46" s="435" t="s">
        <v>493</v>
      </c>
      <c r="O46" s="432" t="s">
        <v>508</v>
      </c>
      <c r="P46" s="433">
        <v>103.5955153835677</v>
      </c>
      <c r="Q46" s="433">
        <v>102.1</v>
      </c>
      <c r="R46" s="433">
        <v>107.3</v>
      </c>
      <c r="S46" s="436">
        <f>(1-16.3/100)*100</f>
        <v>83.7</v>
      </c>
      <c r="V46"/>
      <c r="W46"/>
      <c r="X46"/>
      <c r="Y46"/>
      <c r="Z46"/>
      <c r="AA46"/>
      <c r="AB46"/>
      <c r="AC46"/>
      <c r="AD46"/>
      <c r="AE46"/>
    </row>
    <row r="47" spans="1:32" ht="12.75" customHeight="1" x14ac:dyDescent="0.2">
      <c r="A47" s="330" t="s">
        <v>445</v>
      </c>
      <c r="B47" s="331">
        <v>11563.072861123541</v>
      </c>
      <c r="C47" s="322">
        <f>G47/B47*100</f>
        <v>125.04867841409694</v>
      </c>
      <c r="D47" s="373">
        <f>O$9</f>
        <v>103.81791483113072</v>
      </c>
      <c r="E47" s="437">
        <f>Q36+4.75</f>
        <v>120.45</v>
      </c>
      <c r="F47" s="324">
        <f>G47/D47*100</f>
        <v>13927.721261223305</v>
      </c>
      <c r="G47" s="331">
        <f>B47*E47/100*D47/100</f>
        <v>14459.469796894096</v>
      </c>
      <c r="H47" s="325"/>
      <c r="I47"/>
      <c r="J47" s="940" t="s">
        <v>406</v>
      </c>
      <c r="K47" s="325">
        <f>G46+'synthèse 41B'!H36</f>
        <v>31550.054436623119</v>
      </c>
      <c r="L47">
        <f>K47/K48</f>
        <v>1.0710169830108509</v>
      </c>
      <c r="N47" s="438"/>
      <c r="O47" s="337"/>
      <c r="P47" s="337"/>
      <c r="Q47" s="337"/>
      <c r="R47" s="337"/>
      <c r="S47" s="337"/>
      <c r="T47"/>
      <c r="U47" s="325"/>
      <c r="V47" s="325"/>
      <c r="W47" s="325"/>
      <c r="X47"/>
      <c r="Y47"/>
      <c r="Z47"/>
      <c r="AA47"/>
      <c r="AB47"/>
      <c r="AC47"/>
      <c r="AD47"/>
      <c r="AE47"/>
    </row>
    <row r="48" spans="1:32" ht="12.75" customHeight="1" x14ac:dyDescent="0.2">
      <c r="A48" s="330" t="s">
        <v>104</v>
      </c>
      <c r="B48" s="324">
        <v>5052</v>
      </c>
      <c r="C48" s="322">
        <f>G48/B48*100</f>
        <v>116.69133627019093</v>
      </c>
      <c r="D48" s="373">
        <f>O$9</f>
        <v>103.81791483113072</v>
      </c>
      <c r="E48" s="437">
        <f>Q36-3.3</f>
        <v>112.4</v>
      </c>
      <c r="F48" s="324">
        <f>G48/D48*100</f>
        <v>5678.4480000000003</v>
      </c>
      <c r="G48" s="324">
        <f>B48*E48/100*D48/100</f>
        <v>5895.2463083700459</v>
      </c>
      <c r="H48" s="325"/>
      <c r="J48" s="305" t="s">
        <v>392</v>
      </c>
      <c r="K48" s="325">
        <f>G52+G55+'synthèse 41B'!H39</f>
        <v>29458.033753983407</v>
      </c>
      <c r="L48"/>
      <c r="T48"/>
      <c r="U48"/>
      <c r="V48"/>
      <c r="W48" s="439"/>
      <c r="X48" s="439"/>
      <c r="Y48" s="439"/>
      <c r="Z48" s="439"/>
      <c r="AA48" s="439"/>
      <c r="AB48" s="439"/>
      <c r="AC48" s="439"/>
      <c r="AD48" s="439"/>
      <c r="AE48" s="439"/>
      <c r="AF48" s="440"/>
    </row>
    <row r="49" spans="1:32" ht="12.75" customHeight="1" x14ac:dyDescent="0.2">
      <c r="A49" s="320" t="s">
        <v>455</v>
      </c>
      <c r="B49" s="321">
        <v>34198.635245549012</v>
      </c>
      <c r="C49" s="322">
        <f>G49/B49*100</f>
        <v>111.26452606141646</v>
      </c>
      <c r="D49" s="323">
        <f t="shared" ref="D49:D55" si="7">O$10</f>
        <v>102.29753453934818</v>
      </c>
      <c r="E49" s="322">
        <f t="shared" ref="E49:E61" si="8">F49/B49*100</f>
        <v>108.76559886066384</v>
      </c>
      <c r="F49" s="324">
        <f>SUM(F50,F53)</f>
        <v>37196.350426995436</v>
      </c>
      <c r="G49" s="321">
        <f>SUM(G50,G53)</f>
        <v>38050.949425432635</v>
      </c>
      <c r="H49" s="325"/>
      <c r="K49"/>
      <c r="L49"/>
      <c r="N49" s="374" t="s">
        <v>509</v>
      </c>
      <c r="O49" s="337"/>
      <c r="P49" s="337"/>
      <c r="Q49" s="337"/>
      <c r="R49" s="337"/>
      <c r="S49" s="337"/>
      <c r="T49"/>
      <c r="U49"/>
      <c r="V49"/>
      <c r="W49"/>
      <c r="X49"/>
      <c r="Y49" s="441" t="s">
        <v>510</v>
      </c>
      <c r="Z49" s="1013" t="s">
        <v>511</v>
      </c>
      <c r="AA49" s="1014"/>
      <c r="AB49"/>
      <c r="AC49"/>
      <c r="AD49"/>
      <c r="AE49"/>
      <c r="AF49" s="146"/>
    </row>
    <row r="50" spans="1:32" ht="12.75" customHeight="1" x14ac:dyDescent="0.2">
      <c r="A50" s="330" t="s">
        <v>445</v>
      </c>
      <c r="B50" s="321">
        <v>20424.994932939273</v>
      </c>
      <c r="C50" s="322">
        <f>G50/B50*100</f>
        <v>114.32172432798502</v>
      </c>
      <c r="D50" s="323">
        <f t="shared" si="7"/>
        <v>102.29753453934818</v>
      </c>
      <c r="E50" s="322">
        <f t="shared" si="8"/>
        <v>111.75413448895173</v>
      </c>
      <c r="F50" s="324">
        <f>SUM(F51:F52)</f>
        <v>22825.776306718533</v>
      </c>
      <c r="G50" s="321">
        <f>SUM(G51:G52)</f>
        <v>23350.206401239742</v>
      </c>
      <c r="H50" s="325"/>
      <c r="J50" s="305" t="s">
        <v>1069</v>
      </c>
      <c r="K50" s="325">
        <f>G48+'synthèse 41B'!H38</f>
        <v>9356.0767761242914</v>
      </c>
      <c r="L50"/>
      <c r="N50" s="337"/>
      <c r="O50" s="337"/>
      <c r="P50" s="442" t="s">
        <v>460</v>
      </c>
      <c r="Q50" s="442" t="s">
        <v>427</v>
      </c>
      <c r="R50" s="414" t="s">
        <v>512</v>
      </c>
      <c r="T50"/>
      <c r="U50"/>
      <c r="V50"/>
      <c r="W50"/>
      <c r="X50"/>
      <c r="Y50" s="443"/>
      <c r="Z50" s="444" t="s">
        <v>513</v>
      </c>
      <c r="AA50" s="445" t="s">
        <v>514</v>
      </c>
      <c r="AB50"/>
      <c r="AC50"/>
      <c r="AD50"/>
      <c r="AE50"/>
      <c r="AF50" s="146"/>
    </row>
    <row r="51" spans="1:32" ht="12.75" customHeight="1" x14ac:dyDescent="0.2">
      <c r="A51" s="368" t="s">
        <v>459</v>
      </c>
      <c r="B51" s="324">
        <v>6322</v>
      </c>
      <c r="C51" s="446">
        <f>R38+10.5</f>
        <v>119.03768414624841</v>
      </c>
      <c r="D51" s="373">
        <f t="shared" si="7"/>
        <v>102.29753453934818</v>
      </c>
      <c r="E51" s="322">
        <f t="shared" si="8"/>
        <v>116.36417698850916</v>
      </c>
      <c r="F51" s="324">
        <f>G51/D51*100</f>
        <v>7356.5432692135491</v>
      </c>
      <c r="G51" s="324">
        <f>B51*C51/100</f>
        <v>7525.5623917258235</v>
      </c>
      <c r="H51" s="325"/>
      <c r="J51" s="305" t="s">
        <v>1070</v>
      </c>
      <c r="K51" s="325">
        <f>G55+'synthèse 41B'!H41</f>
        <v>11152.436956806379</v>
      </c>
      <c r="L51"/>
      <c r="N51" s="447" t="s">
        <v>515</v>
      </c>
      <c r="O51" s="448" t="s">
        <v>510</v>
      </c>
      <c r="P51" s="448" t="s">
        <v>515</v>
      </c>
      <c r="Q51" s="449"/>
      <c r="R51" s="337"/>
      <c r="S51" s="337"/>
      <c r="T51"/>
      <c r="U51"/>
      <c r="V51"/>
      <c r="W51"/>
      <c r="X51"/>
      <c r="Y51" s="450" t="s">
        <v>516</v>
      </c>
      <c r="Z51" s="444">
        <v>112.5</v>
      </c>
      <c r="AA51" s="445">
        <v>102.5</v>
      </c>
      <c r="AB51"/>
      <c r="AC51"/>
      <c r="AD51"/>
      <c r="AE51"/>
      <c r="AF51" s="146"/>
    </row>
    <row r="52" spans="1:32" ht="12.75" customHeight="1" x14ac:dyDescent="0.2">
      <c r="A52" s="368" t="s">
        <v>461</v>
      </c>
      <c r="B52" s="324">
        <v>14102.994932939273</v>
      </c>
      <c r="C52" s="451">
        <f>R38+3.67</f>
        <v>112.20768414624841</v>
      </c>
      <c r="D52" s="373">
        <f t="shared" si="7"/>
        <v>102.29753453934818</v>
      </c>
      <c r="E52" s="322">
        <f t="shared" si="8"/>
        <v>109.68757424265037</v>
      </c>
      <c r="F52" s="324">
        <f>G52/D52*100</f>
        <v>15469.233037504984</v>
      </c>
      <c r="G52" s="324">
        <f>B52*C52/100</f>
        <v>15824.644009513919</v>
      </c>
      <c r="H52" s="325"/>
      <c r="I52"/>
      <c r="K52"/>
      <c r="L52"/>
      <c r="N52" s="452" t="s">
        <v>517</v>
      </c>
      <c r="O52" s="453" t="s">
        <v>518</v>
      </c>
      <c r="P52" s="454">
        <v>101</v>
      </c>
      <c r="Q52" s="455">
        <v>102.53654233021112</v>
      </c>
      <c r="R52" s="361" t="s">
        <v>519</v>
      </c>
      <c r="S52" s="337"/>
      <c r="V52"/>
      <c r="W52"/>
      <c r="X52"/>
      <c r="Y52" s="450" t="s">
        <v>394</v>
      </c>
      <c r="Z52" s="444">
        <v>111</v>
      </c>
      <c r="AA52" s="445">
        <v>101.5</v>
      </c>
      <c r="AB52"/>
      <c r="AC52"/>
      <c r="AD52"/>
      <c r="AE52"/>
      <c r="AF52" s="146"/>
    </row>
    <row r="53" spans="1:32" ht="12.75" customHeight="1" x14ac:dyDescent="0.2">
      <c r="A53" s="330" t="s">
        <v>104</v>
      </c>
      <c r="B53" s="321">
        <v>13773.640312609739</v>
      </c>
      <c r="C53" s="322">
        <f>G53/B53*100</f>
        <v>106.73099261009737</v>
      </c>
      <c r="D53" s="323">
        <f t="shared" si="7"/>
        <v>102.29753453934818</v>
      </c>
      <c r="E53" s="322">
        <f t="shared" si="8"/>
        <v>104.33388555326708</v>
      </c>
      <c r="F53" s="324">
        <f>SUM(F54:F55)</f>
        <v>14370.574120276902</v>
      </c>
      <c r="G53" s="321">
        <f>SUM(G54:G55)</f>
        <v>14700.743024192894</v>
      </c>
      <c r="H53" s="325"/>
      <c r="J53" s="305" t="s">
        <v>1071</v>
      </c>
      <c r="K53" s="325">
        <f>G47+'synthèse 41B'!H37</f>
        <v>22193.977660498829</v>
      </c>
      <c r="L53"/>
      <c r="N53" s="414" t="s">
        <v>520</v>
      </c>
      <c r="O53" s="337"/>
      <c r="P53" s="337"/>
      <c r="Q53" s="337"/>
      <c r="R53" s="337"/>
      <c r="T53"/>
      <c r="U53"/>
      <c r="V53"/>
      <c r="W53"/>
      <c r="X53"/>
      <c r="Y53" s="456" t="s">
        <v>521</v>
      </c>
      <c r="Z53" s="457">
        <v>114</v>
      </c>
      <c r="AA53" s="458">
        <v>103.5</v>
      </c>
      <c r="AB53"/>
      <c r="AC53"/>
      <c r="AD53"/>
      <c r="AE53"/>
      <c r="AF53" s="459"/>
    </row>
    <row r="54" spans="1:32" ht="12.75" customHeight="1" x14ac:dyDescent="0.2">
      <c r="A54" s="368" t="s">
        <v>459</v>
      </c>
      <c r="B54" s="324">
        <v>4493.6403126097384</v>
      </c>
      <c r="C54" s="451">
        <f>R38+2</f>
        <v>110.53768414624841</v>
      </c>
      <c r="D54" s="373">
        <f t="shared" si="7"/>
        <v>102.29753453934818</v>
      </c>
      <c r="E54" s="322">
        <f t="shared" si="8"/>
        <v>108.05508133114461</v>
      </c>
      <c r="F54" s="324">
        <f>G54/D54*100</f>
        <v>4855.6066945195535</v>
      </c>
      <c r="G54" s="324">
        <f>B54*C54/100</f>
        <v>4967.1659354210424</v>
      </c>
      <c r="H54" s="325"/>
      <c r="J54" s="305" t="s">
        <v>1072</v>
      </c>
      <c r="K54" s="325">
        <f>G52+'synthèse 41B'!H40</f>
        <v>18305.596797177026</v>
      </c>
      <c r="L54"/>
      <c r="N54" s="337"/>
      <c r="O54" s="337"/>
      <c r="P54" s="337"/>
      <c r="Q54"/>
      <c r="R54"/>
      <c r="S54"/>
      <c r="T54" s="337"/>
      <c r="U54" s="337"/>
      <c r="V54"/>
      <c r="W54" s="460"/>
      <c r="X54" s="460"/>
      <c r="Y54" s="460"/>
      <c r="Z54" s="460"/>
      <c r="AA54" s="460"/>
      <c r="AB54" s="460"/>
      <c r="AC54" s="460"/>
      <c r="AD54" s="460"/>
      <c r="AE54" s="460"/>
      <c r="AF54" s="461"/>
    </row>
    <row r="55" spans="1:32" ht="12.75" customHeight="1" x14ac:dyDescent="0.2">
      <c r="A55" s="368" t="s">
        <v>461</v>
      </c>
      <c r="B55" s="324">
        <v>9280</v>
      </c>
      <c r="C55" s="451">
        <f>R38-3.65</f>
        <v>104.8876841462484</v>
      </c>
      <c r="D55" s="373">
        <f t="shared" si="7"/>
        <v>102.29753453934818</v>
      </c>
      <c r="E55" s="322">
        <f t="shared" si="8"/>
        <v>102.53197657066107</v>
      </c>
      <c r="F55" s="324">
        <f>G55/D55*100</f>
        <v>9514.9674257573479</v>
      </c>
      <c r="G55" s="324">
        <f>B55*C55/100</f>
        <v>9733.5770887718518</v>
      </c>
      <c r="H55" s="325"/>
      <c r="K55"/>
      <c r="L55"/>
      <c r="N55" s="462" t="s">
        <v>522</v>
      </c>
      <c r="O55" s="337"/>
      <c r="P55" s="337"/>
      <c r="Q55" s="337"/>
      <c r="R55" s="337"/>
      <c r="S55" s="337"/>
      <c r="T55" s="337"/>
      <c r="U55" s="337"/>
      <c r="V55" s="337"/>
      <c r="W55"/>
      <c r="X55"/>
      <c r="Y55"/>
      <c r="Z55"/>
      <c r="AA55"/>
      <c r="AB55"/>
      <c r="AC55"/>
      <c r="AD55"/>
      <c r="AE55"/>
    </row>
    <row r="56" spans="1:32" ht="12.75" customHeight="1" x14ac:dyDescent="0.2">
      <c r="A56" s="408" t="s">
        <v>523</v>
      </c>
      <c r="B56" s="321">
        <v>50813.708106672551</v>
      </c>
      <c r="C56" s="322">
        <f t="shared" ref="C56:C62" si="9">G56/B56*100</f>
        <v>114.94076639336481</v>
      </c>
      <c r="D56" s="322">
        <f t="shared" ref="D56:D62" si="10">G56/F56*100</f>
        <v>102.82231466364075</v>
      </c>
      <c r="E56" s="322">
        <f t="shared" si="8"/>
        <v>111.78581883647216</v>
      </c>
      <c r="F56" s="324">
        <f>SUM(F57:F58)</f>
        <v>56802.519688218745</v>
      </c>
      <c r="G56" s="321">
        <f>SUM(G57:G58)</f>
        <v>58405.665530696773</v>
      </c>
      <c r="H56" s="325"/>
      <c r="I56" s="306"/>
      <c r="J56" s="306"/>
      <c r="K56"/>
      <c r="L56"/>
      <c r="N56" s="337"/>
      <c r="O56" s="463" t="s">
        <v>524</v>
      </c>
      <c r="P56" s="464"/>
      <c r="Q56" s="463">
        <v>2016</v>
      </c>
      <c r="R56" s="463">
        <v>2017</v>
      </c>
      <c r="S56" s="463">
        <v>2018</v>
      </c>
      <c r="T56" s="463" t="s">
        <v>525</v>
      </c>
      <c r="U56" s="465" t="s">
        <v>526</v>
      </c>
      <c r="V56" s="466"/>
      <c r="W56"/>
      <c r="X56"/>
      <c r="Y56"/>
      <c r="Z56"/>
      <c r="AA56"/>
      <c r="AB56"/>
      <c r="AC56"/>
      <c r="AD56"/>
      <c r="AE56"/>
    </row>
    <row r="57" spans="1:32" ht="12.75" customHeight="1" x14ac:dyDescent="0.2">
      <c r="A57" s="326" t="s">
        <v>445</v>
      </c>
      <c r="B57" s="321">
        <v>31988.067794062816</v>
      </c>
      <c r="C57" s="322">
        <f t="shared" si="9"/>
        <v>118.19931244847351</v>
      </c>
      <c r="D57" s="322">
        <f t="shared" si="10"/>
        <v>102.87368196248414</v>
      </c>
      <c r="E57" s="322">
        <f t="shared" si="8"/>
        <v>114.89752305315398</v>
      </c>
      <c r="F57" s="324">
        <f>SUM(F47,F50)</f>
        <v>36753.497567941842</v>
      </c>
      <c r="G57" s="321">
        <f>SUM(G47,G50)</f>
        <v>37809.676198133835</v>
      </c>
      <c r="H57" s="325"/>
      <c r="K57"/>
      <c r="L57"/>
      <c r="N57" s="337"/>
      <c r="O57" s="467" t="s">
        <v>527</v>
      </c>
      <c r="P57" s="468"/>
      <c r="Q57" s="469">
        <v>47.57</v>
      </c>
      <c r="R57" s="470">
        <v>54.69</v>
      </c>
      <c r="S57" s="471">
        <v>57</v>
      </c>
      <c r="T57" s="472">
        <v>114.96741643893209</v>
      </c>
      <c r="U57" s="413">
        <v>104.22380691168405</v>
      </c>
      <c r="V57" s="466"/>
      <c r="W57"/>
      <c r="X57"/>
      <c r="Y57"/>
      <c r="Z57"/>
      <c r="AA57"/>
      <c r="AB57"/>
      <c r="AC57"/>
      <c r="AD57"/>
      <c r="AE57"/>
    </row>
    <row r="58" spans="1:32" ht="12.75" customHeight="1" x14ac:dyDescent="0.2">
      <c r="A58" s="326" t="s">
        <v>104</v>
      </c>
      <c r="B58" s="321">
        <v>18825.640312609739</v>
      </c>
      <c r="C58" s="322">
        <f t="shared" si="9"/>
        <v>109.40392459728123</v>
      </c>
      <c r="D58" s="322">
        <f t="shared" si="10"/>
        <v>102.72814907881641</v>
      </c>
      <c r="E58" s="322">
        <f t="shared" si="8"/>
        <v>106.49848710244252</v>
      </c>
      <c r="F58" s="324">
        <f>SUM(F48,F53)</f>
        <v>20049.022120276903</v>
      </c>
      <c r="G58" s="321">
        <f>SUM(G48,G53)</f>
        <v>20595.989332562938</v>
      </c>
      <c r="H58" s="325"/>
      <c r="I58" s="306"/>
      <c r="J58" s="306"/>
      <c r="K58"/>
      <c r="L58"/>
      <c r="N58" s="337"/>
      <c r="O58" s="467" t="s">
        <v>528</v>
      </c>
      <c r="P58" s="468"/>
      <c r="Q58" s="469">
        <v>118.355</v>
      </c>
      <c r="R58" s="469">
        <v>137.02600000000001</v>
      </c>
      <c r="S58" s="473">
        <v>143</v>
      </c>
      <c r="T58" s="472">
        <v>115.77542140171518</v>
      </c>
      <c r="U58" s="413">
        <v>104.35975654255397</v>
      </c>
      <c r="V58" s="429"/>
      <c r="W58"/>
      <c r="X58"/>
      <c r="Y58"/>
      <c r="Z58"/>
      <c r="AA58"/>
      <c r="AB58"/>
      <c r="AC58"/>
      <c r="AD58"/>
      <c r="AE58"/>
    </row>
    <row r="59" spans="1:32" ht="12.75" customHeight="1" x14ac:dyDescent="0.2">
      <c r="A59" s="474" t="s">
        <v>529</v>
      </c>
      <c r="B59" s="321">
        <v>153130.34432557088</v>
      </c>
      <c r="C59" s="322">
        <f t="shared" si="9"/>
        <v>116.29013217057908</v>
      </c>
      <c r="D59" s="322">
        <f t="shared" si="10"/>
        <v>103.63236834012355</v>
      </c>
      <c r="E59" s="322">
        <f t="shared" si="8"/>
        <v>112.2141026333708</v>
      </c>
      <c r="F59" s="324">
        <f>SUM(F60:F62)</f>
        <v>171833.84174433019</v>
      </c>
      <c r="G59" s="321">
        <f>SUM(G60:G62)</f>
        <v>178075.47980946922</v>
      </c>
      <c r="H59" s="325"/>
      <c r="K59"/>
      <c r="L59"/>
      <c r="N59" s="337"/>
      <c r="O59" s="475" t="s">
        <v>530</v>
      </c>
      <c r="P59" s="468"/>
      <c r="Q59" s="476">
        <v>165.92500000000001</v>
      </c>
      <c r="R59" s="477">
        <v>191.71600000000001</v>
      </c>
      <c r="S59" s="477">
        <v>200</v>
      </c>
      <c r="T59" s="478">
        <v>115.54376977550098</v>
      </c>
      <c r="U59" s="479">
        <v>104.32097477518829</v>
      </c>
      <c r="V59" s="480"/>
      <c r="W59"/>
      <c r="X59"/>
      <c r="Y59"/>
      <c r="Z59"/>
      <c r="AA59"/>
      <c r="AB59"/>
      <c r="AC59"/>
      <c r="AD59"/>
      <c r="AE59"/>
    </row>
    <row r="60" spans="1:32" ht="12.75" customHeight="1" x14ac:dyDescent="0.2">
      <c r="A60" s="326" t="s">
        <v>443</v>
      </c>
      <c r="B60" s="321">
        <v>81825.228282956479</v>
      </c>
      <c r="C60" s="322">
        <f t="shared" si="9"/>
        <v>117.34933303019342</v>
      </c>
      <c r="D60" s="322">
        <f t="shared" si="10"/>
        <v>103.90523875833915</v>
      </c>
      <c r="E60" s="322">
        <f t="shared" si="8"/>
        <v>112.93880311763903</v>
      </c>
      <c r="F60" s="324">
        <f>F36</f>
        <v>92412.433471046897</v>
      </c>
      <c r="G60" s="321">
        <f>G36</f>
        <v>96021.359640482609</v>
      </c>
      <c r="H60" s="325"/>
      <c r="K60"/>
      <c r="L60"/>
      <c r="N60" s="337"/>
      <c r="O60" s="481" t="s">
        <v>531</v>
      </c>
      <c r="P60" s="482"/>
      <c r="Q60" s="483">
        <v>49.683999999999997</v>
      </c>
      <c r="R60" s="484">
        <v>49.13</v>
      </c>
      <c r="S60" s="484">
        <v>50.2</v>
      </c>
      <c r="T60" s="454">
        <v>98.884952902342818</v>
      </c>
      <c r="U60" s="485">
        <v>102.17789537960513</v>
      </c>
      <c r="V60" s="337"/>
      <c r="W60"/>
      <c r="X60"/>
      <c r="Y60"/>
      <c r="Z60"/>
      <c r="AA60"/>
      <c r="AB60"/>
      <c r="AC60"/>
      <c r="AD60"/>
      <c r="AE60"/>
    </row>
    <row r="61" spans="1:32" ht="12.75" customHeight="1" x14ac:dyDescent="0.2">
      <c r="A61" s="326" t="s">
        <v>445</v>
      </c>
      <c r="B61" s="321">
        <v>51286.593322047651</v>
      </c>
      <c r="C61" s="322">
        <f t="shared" si="9"/>
        <v>117.31654286638795</v>
      </c>
      <c r="D61" s="322">
        <f t="shared" si="10"/>
        <v>103.4907647278567</v>
      </c>
      <c r="E61" s="322">
        <f t="shared" si="8"/>
        <v>113.35943180523216</v>
      </c>
      <c r="F61" s="324">
        <f>SUM(F37,F57)</f>
        <v>58138.190782133352</v>
      </c>
      <c r="G61" s="321">
        <f>SUM(G37,G57)</f>
        <v>60167.658239370096</v>
      </c>
      <c r="H61" s="325"/>
      <c r="K61"/>
      <c r="L61"/>
      <c r="N61" s="337"/>
      <c r="O61" s="414" t="s">
        <v>532</v>
      </c>
      <c r="P61" s="337"/>
      <c r="Q61" s="337"/>
      <c r="R61" s="337"/>
      <c r="S61" s="337"/>
      <c r="T61" s="337"/>
      <c r="U61"/>
      <c r="V61" s="337"/>
      <c r="W61"/>
      <c r="X61"/>
      <c r="Y61"/>
      <c r="Z61"/>
      <c r="AA61"/>
      <c r="AB61"/>
      <c r="AC61"/>
      <c r="AD61"/>
      <c r="AE61"/>
    </row>
    <row r="62" spans="1:32" ht="15" customHeight="1" x14ac:dyDescent="0.2">
      <c r="A62" s="326" t="s">
        <v>104</v>
      </c>
      <c r="B62" s="321">
        <v>20018.522720566758</v>
      </c>
      <c r="C62" s="322">
        <f t="shared" si="9"/>
        <v>109.33105421975351</v>
      </c>
      <c r="D62" s="322">
        <f t="shared" si="10"/>
        <v>102.83436674326816</v>
      </c>
      <c r="E62" s="322">
        <v>9</v>
      </c>
      <c r="F62" s="324">
        <f>SUM(F38,F58)</f>
        <v>21283.217491149931</v>
      </c>
      <c r="G62" s="321">
        <f>SUM(G38,G58)</f>
        <v>21886.461929616518</v>
      </c>
      <c r="H62" s="325"/>
      <c r="K62"/>
      <c r="L62"/>
      <c r="Q62" s="486" t="s">
        <v>533</v>
      </c>
      <c r="W62"/>
    </row>
    <row r="63" spans="1:32" ht="25.5" customHeight="1" x14ac:dyDescent="0.2">
      <c r="A63" s="316" t="s">
        <v>534</v>
      </c>
      <c r="B63" s="324"/>
      <c r="C63" s="369"/>
      <c r="D63" s="369"/>
      <c r="E63" s="369"/>
      <c r="F63" s="324"/>
      <c r="G63" s="324"/>
      <c r="H63" s="325"/>
      <c r="K63"/>
      <c r="L63"/>
      <c r="N63" s="487" t="s">
        <v>535</v>
      </c>
      <c r="O63" s="1015" t="s">
        <v>536</v>
      </c>
      <c r="P63" s="1015"/>
      <c r="Q63" s="1015"/>
      <c r="R63" s="1016" t="s">
        <v>537</v>
      </c>
      <c r="S63" s="1016"/>
      <c r="T63" s="1016"/>
      <c r="U63" s="1015" t="s">
        <v>538</v>
      </c>
      <c r="V63" s="1015"/>
      <c r="W63" s="1015"/>
    </row>
    <row r="64" spans="1:32" ht="12.75" customHeight="1" x14ac:dyDescent="0.2">
      <c r="A64" s="316" t="s">
        <v>539</v>
      </c>
      <c r="B64" s="324"/>
      <c r="C64" s="369"/>
      <c r="D64" s="369"/>
      <c r="E64" s="369"/>
      <c r="F64" s="324"/>
      <c r="G64" s="324"/>
      <c r="H64" s="325"/>
      <c r="I64"/>
      <c r="J64"/>
      <c r="K64"/>
      <c r="L64"/>
      <c r="N64" s="488" t="s">
        <v>540</v>
      </c>
      <c r="O64" s="489" t="s">
        <v>541</v>
      </c>
      <c r="P64" s="490" t="s">
        <v>542</v>
      </c>
      <c r="Q64" s="491" t="s">
        <v>543</v>
      </c>
      <c r="R64" s="492" t="s">
        <v>541</v>
      </c>
      <c r="S64" s="490" t="s">
        <v>544</v>
      </c>
      <c r="T64" s="491" t="s">
        <v>543</v>
      </c>
      <c r="U64" s="489" t="s">
        <v>541</v>
      </c>
      <c r="V64" s="490" t="s">
        <v>544</v>
      </c>
      <c r="W64" s="491" t="s">
        <v>543</v>
      </c>
    </row>
    <row r="65" spans="1:31" ht="12.75" customHeight="1" x14ac:dyDescent="0.2">
      <c r="A65" s="320" t="s">
        <v>394</v>
      </c>
      <c r="B65" s="321">
        <v>9535.4994284657605</v>
      </c>
      <c r="C65" s="322">
        <f>G65/B65*100</f>
        <v>114.13236330117147</v>
      </c>
      <c r="D65" s="323">
        <f>O$11</f>
        <v>104.39836632108074</v>
      </c>
      <c r="E65" s="322">
        <f t="shared" ref="E65:E86" si="11">F65/B65*100</f>
        <v>109.32389779946696</v>
      </c>
      <c r="F65" s="324">
        <f>SUM(F66:F68)</f>
        <v>10424.579649844665</v>
      </c>
      <c r="G65" s="321">
        <f>SUM(G66:G68)</f>
        <v>10883.090850277671</v>
      </c>
      <c r="H65" s="325"/>
      <c r="I65" s="325">
        <f>SUM(I66:I68)</f>
        <v>14146.815279728968</v>
      </c>
      <c r="J65" s="325">
        <f>I65/1000</f>
        <v>14.146815279728967</v>
      </c>
      <c r="K65"/>
      <c r="L65"/>
      <c r="N65" s="493" t="s">
        <v>545</v>
      </c>
      <c r="O65" s="494" t="e">
        <f>P65/Q65*100</f>
        <v>#DIV/0!</v>
      </c>
      <c r="P65" s="495">
        <v>92.615173262159331</v>
      </c>
      <c r="Q65" s="496">
        <f>O$12</f>
        <v>0</v>
      </c>
      <c r="R65" s="497"/>
      <c r="S65" s="498">
        <v>109.18</v>
      </c>
      <c r="T65" s="499"/>
      <c r="U65" s="500"/>
      <c r="V65" s="498">
        <v>107.66</v>
      </c>
      <c r="W65" s="499"/>
    </row>
    <row r="66" spans="1:31" ht="12.75" customHeight="1" x14ac:dyDescent="0.2">
      <c r="A66" s="330" t="s">
        <v>95</v>
      </c>
      <c r="B66" s="324">
        <v>1158.280405170012</v>
      </c>
      <c r="C66" s="451">
        <f>(P89)+0.75</f>
        <v>115.01401193842288</v>
      </c>
      <c r="D66" s="373">
        <f>D65</f>
        <v>104.39836632108074</v>
      </c>
      <c r="E66" s="322">
        <f t="shared" si="11"/>
        <v>110.16840204634366</v>
      </c>
      <c r="F66" s="324">
        <f>G66/D66*100</f>
        <v>1276.0590135917171</v>
      </c>
      <c r="G66" s="324">
        <f>B66*C66/100</f>
        <v>1332.1847634826504</v>
      </c>
      <c r="H66" s="325"/>
      <c r="I66" s="325">
        <f>G66+G72</f>
        <v>1801.2817859326904</v>
      </c>
      <c r="J66" s="120">
        <f>I66/1000</f>
        <v>1.8012817859326904</v>
      </c>
      <c r="K66" t="s">
        <v>117</v>
      </c>
      <c r="L66"/>
      <c r="N66" s="493" t="s">
        <v>545</v>
      </c>
      <c r="O66" s="494">
        <v>109.44190366447786</v>
      </c>
      <c r="P66" s="495">
        <v>92.615173262159331</v>
      </c>
      <c r="Q66" s="496">
        <f>O$12</f>
        <v>0</v>
      </c>
      <c r="S66"/>
      <c r="V66"/>
    </row>
    <row r="67" spans="1:31" ht="12.75" customHeight="1" x14ac:dyDescent="0.2">
      <c r="A67" s="330" t="s">
        <v>445</v>
      </c>
      <c r="B67" s="324">
        <v>4423.2190232957482</v>
      </c>
      <c r="C67" s="451">
        <f>(P89)+3.9</f>
        <v>118.16401193842289</v>
      </c>
      <c r="D67" s="373">
        <f>D65</f>
        <v>104.39836632108074</v>
      </c>
      <c r="E67" s="322">
        <f t="shared" si="11"/>
        <v>113.18569064098708</v>
      </c>
      <c r="F67" s="324">
        <f>G67/D67*100</f>
        <v>5006.451000080815</v>
      </c>
      <c r="G67" s="324">
        <f>B67*C67/100</f>
        <v>5226.6530547497796</v>
      </c>
      <c r="H67" s="325"/>
      <c r="I67" s="325">
        <f>G67+G75</f>
        <v>6876.3881771139022</v>
      </c>
      <c r="J67" s="120">
        <f>I67/1000</f>
        <v>6.8763881771139026</v>
      </c>
      <c r="K67" t="s">
        <v>486</v>
      </c>
      <c r="L67"/>
      <c r="N67" s="501"/>
      <c r="O67" s="502"/>
      <c r="P67" s="503"/>
      <c r="Q67" s="499"/>
    </row>
    <row r="68" spans="1:31" ht="12.75" customHeight="1" x14ac:dyDescent="0.2">
      <c r="A68" s="330" t="s">
        <v>104</v>
      </c>
      <c r="B68" s="324">
        <v>3954</v>
      </c>
      <c r="C68" s="451">
        <f>P89-4.9</f>
        <v>109.36401193842288</v>
      </c>
      <c r="D68" s="373">
        <f>D65</f>
        <v>104.39836632108074</v>
      </c>
      <c r="E68" s="322">
        <f t="shared" si="11"/>
        <v>104.75643996388806</v>
      </c>
      <c r="F68" s="324">
        <f>G68/D68*100</f>
        <v>4142.0696361721339</v>
      </c>
      <c r="G68" s="324">
        <f>B68*C68/100</f>
        <v>4324.2530320452406</v>
      </c>
      <c r="H68" s="325"/>
      <c r="I68" s="325">
        <f>G68+G78</f>
        <v>5469.1453166823758</v>
      </c>
      <c r="J68" s="120">
        <f>I68/1000</f>
        <v>5.4691453166823756</v>
      </c>
      <c r="K68" t="s">
        <v>104</v>
      </c>
      <c r="L68"/>
      <c r="N68" s="504" t="s">
        <v>546</v>
      </c>
      <c r="Q68" s="305" t="s">
        <v>547</v>
      </c>
      <c r="U68"/>
      <c r="V68"/>
      <c r="W68"/>
    </row>
    <row r="69" spans="1:31" ht="12.75" customHeight="1" x14ac:dyDescent="0.2">
      <c r="A69" s="320" t="s">
        <v>548</v>
      </c>
      <c r="B69" s="321">
        <v>4138.2092877206023</v>
      </c>
      <c r="C69" s="322">
        <f>G69/B69*100</f>
        <v>114.95057047833102</v>
      </c>
      <c r="D69" s="323">
        <f>O$11</f>
        <v>104.39836632108074</v>
      </c>
      <c r="E69" s="322">
        <f t="shared" si="11"/>
        <v>110.16612926295626</v>
      </c>
      <c r="F69" s="324">
        <f>SUM(F70,F73,F76)</f>
        <v>4558.9049930819401</v>
      </c>
      <c r="G69" s="321">
        <f>SUM(G70,G73,G76)</f>
        <v>4756.895183822111</v>
      </c>
      <c r="H69" s="325"/>
      <c r="I69"/>
      <c r="J69"/>
      <c r="K69"/>
      <c r="L69"/>
      <c r="N69" s="318" t="s">
        <v>549</v>
      </c>
      <c r="T69" s="486" t="s">
        <v>550</v>
      </c>
      <c r="U69"/>
      <c r="V69"/>
      <c r="W69"/>
      <c r="Y69"/>
      <c r="Z69"/>
      <c r="AA69"/>
      <c r="AB69"/>
      <c r="AC69"/>
      <c r="AD69"/>
      <c r="AE69"/>
    </row>
    <row r="70" spans="1:31" ht="12.75" customHeight="1" x14ac:dyDescent="0.2">
      <c r="A70" s="330" t="s">
        <v>95</v>
      </c>
      <c r="B70" s="321">
        <v>508.74923639105259</v>
      </c>
      <c r="C70" s="322">
        <f>G70/B70*100</f>
        <v>115.78524075094249</v>
      </c>
      <c r="D70" s="323">
        <f>O$11</f>
        <v>104.39836632108074</v>
      </c>
      <c r="E70" s="322">
        <f t="shared" si="11"/>
        <v>111.38294870728012</v>
      </c>
      <c r="F70" s="324">
        <f>SUM(F71:F72)</f>
        <v>566.65990101812542</v>
      </c>
      <c r="G70" s="321">
        <f>SUM(G71:G72)</f>
        <v>589.05652817396185</v>
      </c>
      <c r="H70" s="325"/>
      <c r="I70">
        <f>I65*1.105</f>
        <v>15632.230884100509</v>
      </c>
      <c r="J70"/>
      <c r="K70"/>
      <c r="L70"/>
      <c r="N70" s="505" t="s">
        <v>535</v>
      </c>
      <c r="O70" s="310"/>
      <c r="P70" s="310"/>
      <c r="Q70" s="506" t="s">
        <v>551</v>
      </c>
      <c r="R70" s="507" t="s">
        <v>552</v>
      </c>
      <c r="S70" s="507" t="s">
        <v>553</v>
      </c>
      <c r="T70" s="507" t="s">
        <v>554</v>
      </c>
      <c r="U70"/>
      <c r="V70"/>
      <c r="W70" s="508" t="s">
        <v>555</v>
      </c>
      <c r="X70" s="305" t="s">
        <v>556</v>
      </c>
      <c r="Y70"/>
      <c r="Z70"/>
      <c r="AA70"/>
      <c r="AB70"/>
      <c r="AC70"/>
      <c r="AD70"/>
      <c r="AE70"/>
    </row>
    <row r="71" spans="1:31" ht="12.75" customHeight="1" x14ac:dyDescent="0.2">
      <c r="A71" s="509" t="s">
        <v>459</v>
      </c>
      <c r="B71" s="324">
        <v>100</v>
      </c>
      <c r="C71" s="341">
        <f>C$17+3</f>
        <v>119.95950572392188</v>
      </c>
      <c r="D71" s="323">
        <f>D17</f>
        <v>102.24441378733722</v>
      </c>
      <c r="E71" s="322">
        <f t="shared" si="11"/>
        <v>117.32621986902001</v>
      </c>
      <c r="F71" s="324">
        <f>G71/D71*100</f>
        <v>117.32621986902001</v>
      </c>
      <c r="G71" s="324">
        <f>B71*C71/100</f>
        <v>119.95950572392188</v>
      </c>
      <c r="H71" s="325"/>
      <c r="I71" s="395"/>
      <c r="J71" s="395"/>
      <c r="K71"/>
      <c r="L71"/>
      <c r="N71" s="310"/>
      <c r="O71" s="310"/>
      <c r="P71" s="510" t="s">
        <v>557</v>
      </c>
      <c r="Q71" s="511">
        <v>109.76261003796573</v>
      </c>
      <c r="R71" s="511">
        <v>86.127876025216707</v>
      </c>
      <c r="S71" s="511">
        <v>86.127876025216707</v>
      </c>
      <c r="T71" s="511">
        <v>109.8</v>
      </c>
      <c r="U71"/>
      <c r="V71" s="452" t="s">
        <v>558</v>
      </c>
      <c r="W71"/>
      <c r="X71" s="395">
        <v>19392.8</v>
      </c>
      <c r="Y71" s="512">
        <f>X71/X$73</f>
        <v>0.4209365625800402</v>
      </c>
      <c r="Z71"/>
      <c r="AA71"/>
      <c r="AB71"/>
      <c r="AC71"/>
      <c r="AD71"/>
      <c r="AE71"/>
    </row>
    <row r="72" spans="1:31" ht="12.75" customHeight="1" x14ac:dyDescent="0.2">
      <c r="A72" s="509" t="s">
        <v>461</v>
      </c>
      <c r="B72" s="324">
        <v>408.74923639105259</v>
      </c>
      <c r="C72" s="451">
        <f>(P$89)+0.5</f>
        <v>114.76401193842288</v>
      </c>
      <c r="D72" s="373">
        <f>D65</f>
        <v>104.39836632108074</v>
      </c>
      <c r="E72" s="322">
        <f t="shared" si="11"/>
        <v>109.92893469756247</v>
      </c>
      <c r="F72" s="324">
        <f>G72/D72*100</f>
        <v>449.33368114910542</v>
      </c>
      <c r="G72" s="324">
        <f>B72*C72/100</f>
        <v>469.09702245003996</v>
      </c>
      <c r="H72" s="325"/>
      <c r="I72"/>
      <c r="J72" s="306"/>
      <c r="K72"/>
      <c r="L72"/>
      <c r="N72" s="310"/>
      <c r="O72" s="310"/>
      <c r="P72" s="510" t="s">
        <v>559</v>
      </c>
      <c r="Q72" s="511">
        <v>110.51154800534448</v>
      </c>
      <c r="R72" s="511">
        <v>97.849959059605993</v>
      </c>
      <c r="S72" s="511">
        <v>96.400214378805032</v>
      </c>
      <c r="T72" s="511">
        <v>113.01</v>
      </c>
      <c r="U72"/>
      <c r="V72" s="452" t="s">
        <v>560</v>
      </c>
      <c r="W72"/>
      <c r="X72" s="395">
        <v>26677.8</v>
      </c>
      <c r="Y72" s="512">
        <f>X72/X$73</f>
        <v>0.5790634374199598</v>
      </c>
      <c r="Z72"/>
      <c r="AA72"/>
      <c r="AB72"/>
      <c r="AC72"/>
      <c r="AD72"/>
      <c r="AE72"/>
    </row>
    <row r="73" spans="1:31" ht="12.75" customHeight="1" x14ac:dyDescent="0.2">
      <c r="A73" s="330" t="s">
        <v>445</v>
      </c>
      <c r="B73" s="321">
        <v>2094.46005132955</v>
      </c>
      <c r="C73" s="322">
        <f>G73/B73*100</f>
        <v>116.73924280327685</v>
      </c>
      <c r="D73" s="323">
        <f>D65</f>
        <v>104.39836632108074</v>
      </c>
      <c r="E73" s="322">
        <f t="shared" si="11"/>
        <v>111.82094789131214</v>
      </c>
      <c r="F73" s="324">
        <f>SUM(F74:F75)</f>
        <v>2342.0450826015654</v>
      </c>
      <c r="G73" s="321">
        <f>SUM(G74:G75)</f>
        <v>2445.0568047392403</v>
      </c>
      <c r="H73" s="325"/>
      <c r="I73"/>
      <c r="J73"/>
      <c r="K73"/>
      <c r="L73"/>
      <c r="N73" s="310"/>
      <c r="O73" s="310"/>
      <c r="P73" s="513" t="s">
        <v>561</v>
      </c>
      <c r="Q73" s="514">
        <v>94.830690596503459</v>
      </c>
      <c r="R73" s="514">
        <v>99.779506339192736</v>
      </c>
      <c r="S73" s="514">
        <v>99.779506339192736</v>
      </c>
      <c r="T73" s="514">
        <v>124.8</v>
      </c>
      <c r="U73"/>
      <c r="V73" s="395" t="s">
        <v>146</v>
      </c>
      <c r="W73" s="395"/>
      <c r="X73" s="395">
        <f>X71+X72</f>
        <v>46070.6</v>
      </c>
      <c r="Y73" s="395"/>
      <c r="Z73"/>
      <c r="AA73"/>
      <c r="AB73"/>
      <c r="AC73"/>
      <c r="AD73"/>
      <c r="AE73"/>
    </row>
    <row r="74" spans="1:31" ht="12.75" customHeight="1" x14ac:dyDescent="0.2">
      <c r="A74" s="509" t="s">
        <v>459</v>
      </c>
      <c r="B74" s="324">
        <v>690</v>
      </c>
      <c r="C74" s="451">
        <f>(P$89)+1</f>
        <v>115.26401193842288</v>
      </c>
      <c r="D74" s="373">
        <f>D66</f>
        <v>104.39836632108074</v>
      </c>
      <c r="E74" s="322">
        <f t="shared" si="11"/>
        <v>110.40786939512491</v>
      </c>
      <c r="F74" s="324">
        <f>G74/D74*100</f>
        <v>761.81429882636178</v>
      </c>
      <c r="G74" s="324">
        <f>B74*C74/100</f>
        <v>795.32168237511792</v>
      </c>
      <c r="H74" s="325"/>
      <c r="I74" s="325">
        <f>G74+'ERE HTD'!P69</f>
        <v>2531.1216823751179</v>
      </c>
      <c r="J74"/>
      <c r="K74"/>
      <c r="L74"/>
      <c r="N74" s="310"/>
      <c r="O74" s="515"/>
      <c r="P74" s="516" t="s">
        <v>562</v>
      </c>
      <c r="Q74" s="511">
        <v>109.29947932872818</v>
      </c>
      <c r="R74" s="511">
        <v>91.617479597646621</v>
      </c>
      <c r="S74" s="511">
        <v>91.617479597646621</v>
      </c>
      <c r="T74" s="511">
        <v>111.66383491321746</v>
      </c>
      <c r="Y74"/>
      <c r="Z74"/>
      <c r="AA74"/>
      <c r="AB74"/>
      <c r="AC74"/>
      <c r="AD74"/>
      <c r="AE74"/>
    </row>
    <row r="75" spans="1:31" ht="12" customHeight="1" x14ac:dyDescent="0.2">
      <c r="A75" s="509" t="s">
        <v>461</v>
      </c>
      <c r="B75" s="324">
        <v>1404.4600513295497</v>
      </c>
      <c r="C75" s="451">
        <f>(P$89)+3.2</f>
        <v>117.46401193842289</v>
      </c>
      <c r="D75" s="373">
        <f>D65</f>
        <v>104.39836632108074</v>
      </c>
      <c r="E75" s="322">
        <f t="shared" si="11"/>
        <v>112.51518206439964</v>
      </c>
      <c r="F75" s="324">
        <f>G75/D75*100</f>
        <v>1580.2307837752035</v>
      </c>
      <c r="G75" s="324">
        <f>B75*C75/100</f>
        <v>1649.7351223641224</v>
      </c>
      <c r="H75" s="325"/>
      <c r="I75"/>
      <c r="K75"/>
      <c r="L75"/>
      <c r="N75" s="517"/>
      <c r="W75"/>
      <c r="X75"/>
      <c r="Y75"/>
      <c r="Z75"/>
    </row>
    <row r="76" spans="1:31" ht="12.75" customHeight="1" x14ac:dyDescent="0.2">
      <c r="A76" s="330" t="s">
        <v>104</v>
      </c>
      <c r="B76" s="321">
        <v>1535</v>
      </c>
      <c r="C76" s="322">
        <f>G76/B76*100</f>
        <v>112.23334533608525</v>
      </c>
      <c r="D76" s="323">
        <f>D65</f>
        <v>104.39836632108074</v>
      </c>
      <c r="E76" s="322">
        <f t="shared" si="11"/>
        <v>107.50488660991857</v>
      </c>
      <c r="F76" s="324">
        <f>SUM(F77:F78)</f>
        <v>1650.2000094622499</v>
      </c>
      <c r="G76" s="321">
        <f>SUM(G77:G78)</f>
        <v>1722.7818509089086</v>
      </c>
      <c r="H76" s="325"/>
      <c r="I76"/>
      <c r="K76"/>
      <c r="L76"/>
      <c r="N76" s="318" t="s">
        <v>563</v>
      </c>
      <c r="W76" s="518" t="s">
        <v>533</v>
      </c>
    </row>
    <row r="77" spans="1:31" ht="12.75" customHeight="1" x14ac:dyDescent="0.2">
      <c r="A77" s="509" t="s">
        <v>459</v>
      </c>
      <c r="B77" s="324">
        <v>497.47727943324287</v>
      </c>
      <c r="C77" s="451">
        <f>(P$89)+1.9</f>
        <v>116.16401193842289</v>
      </c>
      <c r="D77" s="373">
        <f>D65</f>
        <v>104.39836632108074</v>
      </c>
      <c r="E77" s="322">
        <f t="shared" si="11"/>
        <v>111.26995185073731</v>
      </c>
      <c r="F77" s="324">
        <f>G77/D77*100</f>
        <v>553.54272929372723</v>
      </c>
      <c r="G77" s="324">
        <f>B77*C77/100</f>
        <v>577.88956627177367</v>
      </c>
      <c r="H77" s="325"/>
      <c r="I77" s="306">
        <f>G77+'ERE HTD'!P71</f>
        <v>3031.0895662717735</v>
      </c>
      <c r="K77"/>
      <c r="L77"/>
      <c r="Q77" s="519" t="s">
        <v>564</v>
      </c>
      <c r="R77" s="520" t="s">
        <v>565</v>
      </c>
      <c r="S77" s="520" t="s">
        <v>565</v>
      </c>
      <c r="T77" s="521" t="s">
        <v>566</v>
      </c>
      <c r="U77" s="520" t="s">
        <v>566</v>
      </c>
      <c r="V77" s="520" t="s">
        <v>567</v>
      </c>
      <c r="W77" s="520" t="s">
        <v>567</v>
      </c>
      <c r="X77" s="520" t="s">
        <v>567</v>
      </c>
    </row>
    <row r="78" spans="1:31" ht="12.75" customHeight="1" x14ac:dyDescent="0.2">
      <c r="A78" s="509" t="s">
        <v>461</v>
      </c>
      <c r="B78" s="324">
        <v>1044</v>
      </c>
      <c r="C78" s="451">
        <f>P$89-4.6</f>
        <v>109.66401193842289</v>
      </c>
      <c r="D78" s="373">
        <f>D65</f>
        <v>104.39836632108074</v>
      </c>
      <c r="E78" s="322">
        <f t="shared" si="11"/>
        <v>105.04380078242555</v>
      </c>
      <c r="F78" s="324">
        <f>G78/D78*100</f>
        <v>1096.6572801685227</v>
      </c>
      <c r="G78" s="324">
        <f>B78*C78/100</f>
        <v>1144.8922846371349</v>
      </c>
      <c r="H78" s="325"/>
      <c r="K78"/>
      <c r="L78"/>
      <c r="N78" s="522" t="s">
        <v>535</v>
      </c>
      <c r="O78" s="523"/>
      <c r="P78" s="523"/>
      <c r="Q78" s="524" t="s">
        <v>568</v>
      </c>
      <c r="R78" s="525" t="s">
        <v>569</v>
      </c>
      <c r="S78" s="305" t="s">
        <v>146</v>
      </c>
      <c r="T78" s="524" t="s">
        <v>568</v>
      </c>
      <c r="U78" s="525" t="s">
        <v>569</v>
      </c>
      <c r="V78" s="305" t="s">
        <v>146</v>
      </c>
      <c r="W78" s="524" t="s">
        <v>568</v>
      </c>
      <c r="X78" s="525" t="s">
        <v>569</v>
      </c>
      <c r="Y78" s="305" t="s">
        <v>146</v>
      </c>
    </row>
    <row r="79" spans="1:31" ht="12.75" customHeight="1" x14ac:dyDescent="0.2">
      <c r="A79" s="526" t="s">
        <v>570</v>
      </c>
      <c r="B79" s="527">
        <v>13673.708716186364</v>
      </c>
      <c r="C79" s="528">
        <f t="shared" ref="C79:C86" si="12">G79/B79*100</f>
        <v>114.37998540648901</v>
      </c>
      <c r="D79" s="528">
        <f t="shared" ref="D79:D86" si="13">G79/F79*100</f>
        <v>104.38150007704046</v>
      </c>
      <c r="E79" s="528">
        <f t="shared" si="11"/>
        <v>109.57879061142926</v>
      </c>
      <c r="F79" s="529">
        <f>SUM(F80:F82)</f>
        <v>14983.484642926607</v>
      </c>
      <c r="G79" s="527">
        <f>SUM(G80:G82)</f>
        <v>15639.98603409978</v>
      </c>
      <c r="H79" s="325"/>
      <c r="K79"/>
      <c r="L79"/>
      <c r="N79" s="530" t="s">
        <v>571</v>
      </c>
      <c r="O79" s="531"/>
      <c r="P79" s="532"/>
      <c r="Q79" s="533">
        <v>106.58144511453929</v>
      </c>
      <c r="R79" s="534">
        <v>126.20014091408606</v>
      </c>
      <c r="T79" s="533">
        <v>111.3</v>
      </c>
      <c r="U79" s="534">
        <v>105.03</v>
      </c>
      <c r="W79" s="533"/>
      <c r="X79" s="534"/>
    </row>
    <row r="80" spans="1:31" ht="12.75" customHeight="1" x14ac:dyDescent="0.2">
      <c r="A80" s="326" t="s">
        <v>95</v>
      </c>
      <c r="B80" s="321">
        <v>1667.0296415610646</v>
      </c>
      <c r="C80" s="322">
        <f t="shared" si="12"/>
        <v>115.24937792092858</v>
      </c>
      <c r="D80" s="322">
        <f t="shared" si="13"/>
        <v>104.26122380490108</v>
      </c>
      <c r="E80" s="322">
        <f t="shared" si="11"/>
        <v>110.53906113416534</v>
      </c>
      <c r="F80" s="324">
        <f>SUM(F66,F70)</f>
        <v>1842.7189146098426</v>
      </c>
      <c r="G80" s="321">
        <f>SUM(G66,G70)</f>
        <v>1921.2412916566122</v>
      </c>
      <c r="H80" s="325"/>
      <c r="K80"/>
      <c r="L80"/>
      <c r="N80" s="535" t="s">
        <v>572</v>
      </c>
      <c r="P80" s="536"/>
      <c r="Q80" s="533">
        <v>104.35334760955024</v>
      </c>
      <c r="R80" s="534">
        <v>109.88954259926349</v>
      </c>
      <c r="T80" s="533">
        <v>105.67</v>
      </c>
      <c r="U80" s="534">
        <v>104.36</v>
      </c>
      <c r="W80" s="533"/>
      <c r="X80" s="534"/>
    </row>
    <row r="81" spans="1:30" ht="12.75" customHeight="1" x14ac:dyDescent="0.2">
      <c r="A81" s="326" t="s">
        <v>445</v>
      </c>
      <c r="B81" s="321">
        <v>6517.6790746252982</v>
      </c>
      <c r="C81" s="322">
        <f t="shared" si="12"/>
        <v>117.7061615285203</v>
      </c>
      <c r="D81" s="322">
        <f t="shared" si="13"/>
        <v>104.39836632108073</v>
      </c>
      <c r="E81" s="322">
        <f t="shared" si="11"/>
        <v>112.74712974579599</v>
      </c>
      <c r="F81" s="324">
        <f>SUM(F67,F73)</f>
        <v>7348.4960826823808</v>
      </c>
      <c r="G81" s="321">
        <f>SUM(G67,G73)</f>
        <v>7671.7098594890194</v>
      </c>
      <c r="H81" s="325"/>
      <c r="K81"/>
      <c r="L81"/>
      <c r="N81" s="537" t="s">
        <v>573</v>
      </c>
      <c r="O81" s="538"/>
      <c r="P81" s="539"/>
      <c r="Q81" s="540">
        <v>104.83985045973527</v>
      </c>
      <c r="R81" s="541">
        <v>112.29013975051252</v>
      </c>
      <c r="S81" s="542">
        <v>107.95400766725565</v>
      </c>
      <c r="T81" s="543">
        <v>107.74589712523408</v>
      </c>
      <c r="U81" s="544">
        <v>104.5671226828788</v>
      </c>
      <c r="V81" s="542">
        <v>92.615173262159317</v>
      </c>
      <c r="W81" s="543">
        <v>94.151355035310431</v>
      </c>
      <c r="X81" s="544">
        <v>90.55286211574662</v>
      </c>
    </row>
    <row r="82" spans="1:30" ht="12.75" customHeight="1" x14ac:dyDescent="0.2">
      <c r="A82" s="326" t="s">
        <v>104</v>
      </c>
      <c r="B82" s="321">
        <v>5489</v>
      </c>
      <c r="C82" s="322">
        <f t="shared" si="12"/>
        <v>110.166421624233</v>
      </c>
      <c r="D82" s="322">
        <f t="shared" si="13"/>
        <v>104.39836632108073</v>
      </c>
      <c r="E82" s="322">
        <f t="shared" si="11"/>
        <v>105.52504364427735</v>
      </c>
      <c r="F82" s="324">
        <f>SUM(F68,F76)</f>
        <v>5792.2696456343838</v>
      </c>
      <c r="G82" s="321">
        <f>SUM(G68,G76)</f>
        <v>6047.034882954149</v>
      </c>
      <c r="H82" s="325"/>
      <c r="K82"/>
      <c r="L82"/>
      <c r="N82" s="504"/>
      <c r="Y82"/>
      <c r="Z82"/>
      <c r="AA82"/>
      <c r="AB82"/>
      <c r="AC82"/>
    </row>
    <row r="83" spans="1:30" ht="12.75" customHeight="1" x14ac:dyDescent="0.2">
      <c r="A83" s="474" t="s">
        <v>574</v>
      </c>
      <c r="B83" s="321">
        <v>166804.05304175726</v>
      </c>
      <c r="C83" s="322">
        <f t="shared" si="12"/>
        <v>116.13354850261031</v>
      </c>
      <c r="D83" s="322">
        <f t="shared" si="13"/>
        <v>103.69245165301902</v>
      </c>
      <c r="E83" s="369">
        <f t="shared" si="11"/>
        <v>111.99807377611471</v>
      </c>
      <c r="F83" s="324">
        <f t="shared" ref="F83:G86" si="14">SUM(F59,F79)</f>
        <v>186817.32638725679</v>
      </c>
      <c r="G83" s="321">
        <f t="shared" si="14"/>
        <v>193715.46584356899</v>
      </c>
      <c r="H83" s="325"/>
      <c r="K83"/>
      <c r="L83"/>
      <c r="U83" s="319"/>
      <c r="W83" s="305">
        <f>97*2</f>
        <v>194</v>
      </c>
      <c r="Y83"/>
      <c r="Z83"/>
      <c r="AA83"/>
      <c r="AB83"/>
      <c r="AC83"/>
    </row>
    <row r="84" spans="1:30" ht="12.75" customHeight="1" x14ac:dyDescent="0.2">
      <c r="A84" s="326" t="s">
        <v>443</v>
      </c>
      <c r="B84" s="321">
        <v>83492.257924517544</v>
      </c>
      <c r="C84" s="322">
        <f t="shared" si="12"/>
        <v>117.30740474246812</v>
      </c>
      <c r="D84" s="322">
        <f t="shared" si="13"/>
        <v>103.91219838189305</v>
      </c>
      <c r="E84" s="369">
        <f t="shared" si="11"/>
        <v>112.89088920181025</v>
      </c>
      <c r="F84" s="324">
        <f t="shared" si="14"/>
        <v>94255.152385656736</v>
      </c>
      <c r="G84" s="321">
        <f t="shared" si="14"/>
        <v>97942.600932139219</v>
      </c>
      <c r="H84" s="325"/>
      <c r="K84"/>
      <c r="L84"/>
      <c r="N84" s="310" t="s">
        <v>575</v>
      </c>
      <c r="O84" s="545" t="s">
        <v>576</v>
      </c>
      <c r="P84" s="310" t="s">
        <v>577</v>
      </c>
      <c r="Q84" s="310" t="s">
        <v>543</v>
      </c>
      <c r="R84" s="518" t="s">
        <v>578</v>
      </c>
      <c r="S84"/>
      <c r="T84"/>
      <c r="Y84"/>
      <c r="Z84"/>
      <c r="AA84"/>
      <c r="AB84"/>
      <c r="AC84"/>
    </row>
    <row r="85" spans="1:30" ht="12.75" customHeight="1" x14ac:dyDescent="0.2">
      <c r="A85" s="326" t="s">
        <v>445</v>
      </c>
      <c r="B85" s="321">
        <v>57804.272396672946</v>
      </c>
      <c r="C85" s="322">
        <f t="shared" si="12"/>
        <v>117.36047403783907</v>
      </c>
      <c r="D85" s="322">
        <f t="shared" si="13"/>
        <v>103.59260995887611</v>
      </c>
      <c r="E85" s="369">
        <f t="shared" si="11"/>
        <v>113.29039212780569</v>
      </c>
      <c r="F85" s="324">
        <f t="shared" si="14"/>
        <v>65486.686864815732</v>
      </c>
      <c r="G85" s="321">
        <f t="shared" si="14"/>
        <v>67839.368098859122</v>
      </c>
      <c r="H85" s="325"/>
      <c r="K85"/>
      <c r="L85"/>
      <c r="N85" s="310" t="s">
        <v>579</v>
      </c>
      <c r="O85" s="546">
        <v>85.92075335929016</v>
      </c>
      <c r="P85" s="547">
        <f>O85*Q85/100</f>
        <v>89.699862837864032</v>
      </c>
      <c r="Q85" s="547">
        <f>O$11</f>
        <v>104.39836632108074</v>
      </c>
      <c r="S85"/>
      <c r="T85"/>
      <c r="Y85"/>
      <c r="Z85"/>
      <c r="AA85"/>
      <c r="AB85"/>
      <c r="AC85"/>
    </row>
    <row r="86" spans="1:30" ht="12.75" customHeight="1" x14ac:dyDescent="0.2">
      <c r="A86" s="326" t="s">
        <v>104</v>
      </c>
      <c r="B86" s="321">
        <v>25507.522720566758</v>
      </c>
      <c r="C86" s="322">
        <f t="shared" si="12"/>
        <v>109.5108181166015</v>
      </c>
      <c r="D86" s="322">
        <f t="shared" si="13"/>
        <v>103.16895379001573</v>
      </c>
      <c r="E86" s="369">
        <f t="shared" si="11"/>
        <v>106.1470666257735</v>
      </c>
      <c r="F86" s="324">
        <f t="shared" si="14"/>
        <v>27075.487136784315</v>
      </c>
      <c r="G86" s="321">
        <f t="shared" si="14"/>
        <v>27933.496812570665</v>
      </c>
      <c r="H86" s="325"/>
      <c r="K86"/>
      <c r="L86"/>
      <c r="N86" s="548" t="s">
        <v>580</v>
      </c>
      <c r="Y86"/>
      <c r="Z86"/>
      <c r="AA86"/>
      <c r="AB86"/>
      <c r="AC86"/>
      <c r="AD86" s="319"/>
    </row>
    <row r="87" spans="1:30" ht="12.75" customHeight="1" x14ac:dyDescent="0.2">
      <c r="A87" s="326"/>
      <c r="B87" s="324"/>
      <c r="C87" s="369"/>
      <c r="D87" s="369"/>
      <c r="E87" s="369"/>
      <c r="F87" s="324"/>
      <c r="G87" s="324"/>
      <c r="K87"/>
      <c r="L87"/>
      <c r="M87" s="549"/>
      <c r="N87" s="550" t="s">
        <v>575</v>
      </c>
      <c r="O87" s="545" t="s">
        <v>576</v>
      </c>
      <c r="P87" s="551" t="s">
        <v>577</v>
      </c>
      <c r="Q87" s="552" t="s">
        <v>543</v>
      </c>
      <c r="R87" s="518" t="s">
        <v>578</v>
      </c>
      <c r="S87" s="553"/>
      <c r="T87" s="554"/>
      <c r="U87" s="555"/>
      <c r="V87" s="555"/>
      <c r="W87" s="555"/>
      <c r="X87" s="554"/>
      <c r="Y87"/>
      <c r="Z87"/>
      <c r="AA87"/>
      <c r="AB87"/>
      <c r="AC87"/>
    </row>
    <row r="88" spans="1:30" ht="12.75" customHeight="1" x14ac:dyDescent="0.2">
      <c r="A88" s="326"/>
      <c r="B88" s="324"/>
      <c r="C88" s="369"/>
      <c r="D88" s="369"/>
      <c r="E88" s="369"/>
      <c r="F88" s="324"/>
      <c r="G88" s="324"/>
      <c r="K88"/>
      <c r="L88"/>
      <c r="M88" s="556"/>
      <c r="N88" s="557" t="s">
        <v>581</v>
      </c>
      <c r="O88" s="546">
        <v>91.081105457874855</v>
      </c>
      <c r="P88" s="558">
        <f>O88*Q88/100</f>
        <v>95.087186125202066</v>
      </c>
      <c r="Q88" s="499">
        <f>O$11</f>
        <v>104.39836632108074</v>
      </c>
      <c r="R88"/>
      <c r="S88" s="306"/>
      <c r="T88" s="306"/>
      <c r="V88" s="319"/>
      <c r="Y88"/>
      <c r="Z88"/>
      <c r="AA88"/>
      <c r="AB88"/>
      <c r="AC88"/>
    </row>
    <row r="89" spans="1:30" ht="12.75" customHeight="1" x14ac:dyDescent="0.2">
      <c r="A89" s="474" t="s">
        <v>582</v>
      </c>
      <c r="B89" s="321">
        <v>56700.461401928638</v>
      </c>
      <c r="C89" s="322">
        <f t="shared" ref="C89:C105" si="15">G89/B89*100</f>
        <v>118.55162838454687</v>
      </c>
      <c r="D89" s="322">
        <f t="shared" ref="D89:D105" si="16">G89/F89*100</f>
        <v>104.37584577223902</v>
      </c>
      <c r="E89" s="369">
        <f t="shared" ref="E89:E113" si="17">F89/B89*100</f>
        <v>113.58147807802312</v>
      </c>
      <c r="F89" s="324">
        <f>SUM(F90:F92)</f>
        <v>64401.222137369543</v>
      </c>
      <c r="G89" s="321">
        <f>SUM(G90:G92)</f>
        <v>67219.320293537879</v>
      </c>
      <c r="H89" s="306"/>
      <c r="I89" s="306"/>
      <c r="J89"/>
      <c r="K89"/>
      <c r="L89"/>
      <c r="M89" s="556"/>
      <c r="N89" s="559" t="s">
        <v>583</v>
      </c>
      <c r="O89" s="546">
        <v>109.45</v>
      </c>
      <c r="P89" s="560">
        <f>O89*Q88/100</f>
        <v>114.26401193842288</v>
      </c>
      <c r="Q89" s="548" t="s">
        <v>584</v>
      </c>
      <c r="S89" s="306"/>
      <c r="T89" s="306"/>
      <c r="V89" s="319"/>
      <c r="X89"/>
      <c r="Y89"/>
      <c r="Z89"/>
      <c r="AA89"/>
      <c r="AB89"/>
      <c r="AC89"/>
    </row>
    <row r="90" spans="1:30" ht="12.75" customHeight="1" x14ac:dyDescent="0.2">
      <c r="A90" s="326" t="s">
        <v>443</v>
      </c>
      <c r="B90" s="321">
        <v>20631.215058019174</v>
      </c>
      <c r="C90" s="322">
        <f t="shared" si="15"/>
        <v>118.23356946467895</v>
      </c>
      <c r="D90" s="322">
        <f t="shared" si="16"/>
        <v>104.67145961418454</v>
      </c>
      <c r="E90" s="369">
        <f t="shared" si="17"/>
        <v>112.956836467633</v>
      </c>
      <c r="F90" s="324">
        <f>SUM(F6,F66)</f>
        <v>23304.367854372391</v>
      </c>
      <c r="G90" s="321">
        <f>SUM(G6,G66)</f>
        <v>24393.021987030403</v>
      </c>
      <c r="H90"/>
      <c r="I90"/>
      <c r="J90"/>
      <c r="K90"/>
      <c r="L90"/>
      <c r="M90"/>
      <c r="N90" s="561" t="s">
        <v>585</v>
      </c>
      <c r="O90" s="546">
        <v>101.89196676811734</v>
      </c>
      <c r="P90" s="562"/>
      <c r="Q90" s="562"/>
      <c r="R90" s="554"/>
      <c r="S90" s="306"/>
      <c r="T90" s="306"/>
      <c r="V90" s="319"/>
      <c r="X90"/>
      <c r="Y90"/>
      <c r="Z90"/>
      <c r="AA90"/>
      <c r="AB90"/>
      <c r="AC90"/>
    </row>
    <row r="91" spans="1:30" ht="12.75" customHeight="1" x14ac:dyDescent="0.2">
      <c r="A91" s="326" t="s">
        <v>445</v>
      </c>
      <c r="B91" s="321">
        <v>26373.246343909461</v>
      </c>
      <c r="C91" s="322">
        <f t="shared" si="15"/>
        <v>120.83069198520357</v>
      </c>
      <c r="D91" s="322">
        <f t="shared" si="16"/>
        <v>104.24387551475991</v>
      </c>
      <c r="E91" s="369">
        <f t="shared" si="17"/>
        <v>115.91155009206764</v>
      </c>
      <c r="F91" s="324">
        <f>SUM(F7,F47,F67)</f>
        <v>30569.638646825013</v>
      </c>
      <c r="G91" s="321">
        <f>SUM(G7,G47,G67)</f>
        <v>31866.976056308202</v>
      </c>
      <c r="H91" s="306"/>
      <c r="I91" s="306"/>
      <c r="J91"/>
      <c r="K91"/>
      <c r="L91" s="306"/>
      <c r="M91" s="556"/>
      <c r="N91" s="563" t="s">
        <v>586</v>
      </c>
      <c r="O91" s="546">
        <v>86.862609365179225</v>
      </c>
      <c r="P91" s="333"/>
      <c r="Q91" s="333"/>
      <c r="R91" s="333"/>
      <c r="S91" s="334"/>
      <c r="T91" s="334"/>
      <c r="X91"/>
      <c r="Y91"/>
      <c r="Z91"/>
      <c r="AA91"/>
      <c r="AB91"/>
      <c r="AC91"/>
    </row>
    <row r="92" spans="1:30" ht="12.75" customHeight="1" x14ac:dyDescent="0.2">
      <c r="A92" s="326" t="s">
        <v>104</v>
      </c>
      <c r="B92" s="321">
        <v>9696</v>
      </c>
      <c r="C92" s="322">
        <f t="shared" si="15"/>
        <v>113.02931363654369</v>
      </c>
      <c r="D92" s="322">
        <f t="shared" si="16"/>
        <v>104.10466194444044</v>
      </c>
      <c r="E92" s="369">
        <f t="shared" si="17"/>
        <v>108.57276852487763</v>
      </c>
      <c r="F92" s="324">
        <f>SUM(F8,F48,F68)</f>
        <v>10527.215636172135</v>
      </c>
      <c r="G92" s="321">
        <f>SUM(G8,G48,G68)</f>
        <v>10959.322250199277</v>
      </c>
      <c r="J92"/>
      <c r="K92"/>
      <c r="M92" s="556"/>
      <c r="X92"/>
      <c r="Y92"/>
      <c r="Z92"/>
      <c r="AA92"/>
      <c r="AB92"/>
      <c r="AC92"/>
    </row>
    <row r="93" spans="1:30" ht="12.75" customHeight="1" x14ac:dyDescent="0.2">
      <c r="A93" s="474" t="s">
        <v>587</v>
      </c>
      <c r="B93" s="321">
        <v>74067.730115452257</v>
      </c>
      <c r="C93" s="322">
        <f t="shared" si="15"/>
        <v>114.25451447529321</v>
      </c>
      <c r="D93" s="322">
        <f t="shared" si="16"/>
        <v>103.74880112772703</v>
      </c>
      <c r="E93" s="369">
        <f t="shared" si="17"/>
        <v>110.12610577989466</v>
      </c>
      <c r="F93" s="324">
        <f>SUM(F94:F96)</f>
        <v>81567.906815709837</v>
      </c>
      <c r="G93" s="321">
        <f>SUM(G94:G96)</f>
        <v>84625.725426280507</v>
      </c>
      <c r="H93" s="564"/>
      <c r="J93"/>
      <c r="K93"/>
      <c r="M93" s="565"/>
      <c r="N93" s="566" t="s">
        <v>588</v>
      </c>
      <c r="O93" s="304" t="str">
        <f>B$2</f>
        <v>DEF 2021</v>
      </c>
      <c r="P93" s="310"/>
      <c r="Q93" s="310"/>
      <c r="R93" s="310"/>
      <c r="S93" s="310"/>
      <c r="T93" s="304" t="str">
        <f>G$2</f>
        <v>SD 2021</v>
      </c>
      <c r="V93" s="321">
        <v>57502.356914209646</v>
      </c>
      <c r="W93" s="567">
        <f>H98</f>
        <v>62060</v>
      </c>
      <c r="X93"/>
      <c r="Y93"/>
      <c r="Z93"/>
      <c r="AA93"/>
      <c r="AB93"/>
      <c r="AC93"/>
    </row>
    <row r="94" spans="1:30" ht="12.75" customHeight="1" x14ac:dyDescent="0.2">
      <c r="A94" s="326" t="s">
        <v>95</v>
      </c>
      <c r="B94" s="321">
        <v>41857.976459361736</v>
      </c>
      <c r="C94" s="322">
        <f t="shared" si="15"/>
        <v>117.01830912922644</v>
      </c>
      <c r="D94" s="322">
        <f t="shared" si="16"/>
        <v>104.38917545983377</v>
      </c>
      <c r="E94" s="369">
        <f t="shared" si="17"/>
        <v>112.09812570485531</v>
      </c>
      <c r="F94" s="324">
        <f>SUM(F24,F28,F72)</f>
        <v>46922.007068924067</v>
      </c>
      <c r="G94" s="321">
        <f>SUM(G24,G28,G72)</f>
        <v>48981.496288454749</v>
      </c>
      <c r="H94" s="568"/>
      <c r="I94" s="568"/>
      <c r="J94"/>
      <c r="K94"/>
      <c r="L94" s="568"/>
      <c r="M94" s="569"/>
      <c r="N94" s="310"/>
      <c r="O94" s="570" t="s">
        <v>433</v>
      </c>
      <c r="P94" s="570" t="s">
        <v>434</v>
      </c>
      <c r="Q94" s="571" t="s">
        <v>435</v>
      </c>
      <c r="R94" s="570" t="s">
        <v>436</v>
      </c>
      <c r="S94" s="572" t="s">
        <v>437</v>
      </c>
      <c r="T94" s="570" t="s">
        <v>433</v>
      </c>
      <c r="V94" s="321">
        <v>44854.897072791922</v>
      </c>
      <c r="W94" s="573">
        <f>H99</f>
        <v>47945</v>
      </c>
      <c r="X94"/>
      <c r="Y94"/>
      <c r="Z94"/>
      <c r="AA94"/>
      <c r="AB94"/>
      <c r="AC94"/>
    </row>
    <row r="95" spans="1:30" ht="14.65" customHeight="1" x14ac:dyDescent="0.2">
      <c r="A95" s="326" t="s">
        <v>445</v>
      </c>
      <c r="B95" s="321">
        <v>21571.753656090525</v>
      </c>
      <c r="C95" s="322">
        <f t="shared" si="15"/>
        <v>113.2524677239801</v>
      </c>
      <c r="D95" s="322">
        <f t="shared" si="16"/>
        <v>103.02528473722472</v>
      </c>
      <c r="E95" s="369">
        <f t="shared" si="17"/>
        <v>109.92686699468072</v>
      </c>
      <c r="F95" s="324">
        <f>SUM(F31,F52,F75)</f>
        <v>23713.152949950807</v>
      </c>
      <c r="G95" s="321">
        <f>SUM(G31,G52,G75)</f>
        <v>24430.543346860421</v>
      </c>
      <c r="H95" s="306"/>
      <c r="I95"/>
      <c r="J95"/>
      <c r="K95"/>
      <c r="L95"/>
      <c r="M95" s="565" t="s">
        <v>589</v>
      </c>
      <c r="N95" s="310" t="s">
        <v>590</v>
      </c>
      <c r="O95" s="324">
        <f t="shared" ref="O95:T95" si="18">B$23</f>
        <v>17516</v>
      </c>
      <c r="P95" s="547">
        <f t="shared" si="18"/>
        <v>116.95950572392188</v>
      </c>
      <c r="Q95" s="547">
        <f t="shared" si="18"/>
        <v>102.24441378733722</v>
      </c>
      <c r="R95" s="547">
        <f t="shared" si="18"/>
        <v>114.39207423810089</v>
      </c>
      <c r="S95" s="324">
        <f t="shared" si="18"/>
        <v>20036.915723545753</v>
      </c>
      <c r="T95" s="324">
        <f t="shared" si="18"/>
        <v>20486.627022602155</v>
      </c>
      <c r="V95" s="321">
        <v>20070.051543829581</v>
      </c>
      <c r="W95" s="574">
        <f>H100</f>
        <v>20333.400000000001</v>
      </c>
      <c r="X95"/>
      <c r="Y95"/>
      <c r="Z95"/>
      <c r="AA95"/>
      <c r="AB95"/>
      <c r="AC95"/>
    </row>
    <row r="96" spans="1:30" ht="14.65" customHeight="1" x14ac:dyDescent="0.2">
      <c r="A96" s="326" t="s">
        <v>104</v>
      </c>
      <c r="B96" s="321">
        <v>10638</v>
      </c>
      <c r="C96" s="322">
        <f t="shared" si="15"/>
        <v>105.411597959817</v>
      </c>
      <c r="D96" s="322">
        <f t="shared" si="16"/>
        <v>102.56970182655014</v>
      </c>
      <c r="E96" s="369">
        <f t="shared" si="17"/>
        <v>102.7706974697778</v>
      </c>
      <c r="F96" s="324">
        <f>SUM(F34,F55,F78)</f>
        <v>10932.746796834963</v>
      </c>
      <c r="G96" s="321">
        <f>SUM(G34,G55,G78)</f>
        <v>11213.685790965334</v>
      </c>
      <c r="H96" s="565" t="s">
        <v>591</v>
      </c>
      <c r="I96"/>
      <c r="J96"/>
      <c r="K96" s="565" t="s">
        <v>592</v>
      </c>
      <c r="L96"/>
      <c r="M96" s="565" t="s">
        <v>593</v>
      </c>
      <c r="N96" s="310" t="s">
        <v>594</v>
      </c>
      <c r="O96" s="324">
        <f t="shared" ref="O96:T96" si="19">B$27</f>
        <v>3387</v>
      </c>
      <c r="P96" s="547">
        <f t="shared" si="19"/>
        <v>116.95950572392188</v>
      </c>
      <c r="Q96" s="547">
        <f t="shared" si="19"/>
        <v>102.24441378733722</v>
      </c>
      <c r="R96" s="547">
        <f t="shared" si="19"/>
        <v>114.39431706364032</v>
      </c>
      <c r="S96" s="324">
        <f t="shared" si="19"/>
        <v>3874.5355189454976</v>
      </c>
      <c r="T96" s="324">
        <f t="shared" si="19"/>
        <v>3961.4961283279881</v>
      </c>
      <c r="X96"/>
      <c r="Y96"/>
      <c r="Z96"/>
      <c r="AA96"/>
      <c r="AB96"/>
      <c r="AC96"/>
    </row>
    <row r="97" spans="1:29" ht="14.65" customHeight="1" x14ac:dyDescent="0.2">
      <c r="A97" s="575" t="s">
        <v>595</v>
      </c>
      <c r="B97" s="321">
        <v>130341.29151738092</v>
      </c>
      <c r="C97" s="322">
        <f t="shared" si="15"/>
        <v>117.34703863926528</v>
      </c>
      <c r="D97" s="322">
        <f t="shared" si="16"/>
        <v>104.03020993634178</v>
      </c>
      <c r="E97" s="369">
        <f t="shared" si="17"/>
        <v>112.80092456900006</v>
      </c>
      <c r="F97" s="324">
        <f>SUM(F98:F100)</f>
        <v>147026.18192678131</v>
      </c>
      <c r="G97" s="321">
        <f>SUM(G98:G100)</f>
        <v>152951.64571981839</v>
      </c>
      <c r="H97" s="576">
        <f>H98+H99+H100</f>
        <v>130338.4</v>
      </c>
      <c r="I97"/>
      <c r="J97"/>
      <c r="K97" s="577">
        <v>152952.79999999999</v>
      </c>
      <c r="L97"/>
      <c r="M97" s="565" t="s">
        <v>596</v>
      </c>
      <c r="N97" s="310" t="s">
        <v>597</v>
      </c>
      <c r="O97" s="324">
        <f t="shared" ref="O97:T97" si="20">B$71</f>
        <v>100</v>
      </c>
      <c r="P97" s="547">
        <f t="shared" si="20"/>
        <v>119.95950572392188</v>
      </c>
      <c r="Q97" s="547">
        <f t="shared" si="20"/>
        <v>102.24441378733722</v>
      </c>
      <c r="R97" s="547">
        <f t="shared" si="20"/>
        <v>117.32621986902001</v>
      </c>
      <c r="S97" s="324">
        <f t="shared" si="20"/>
        <v>117.32621986902001</v>
      </c>
      <c r="T97" s="324">
        <f t="shared" si="20"/>
        <v>119.95950572392188</v>
      </c>
      <c r="V97" s="306">
        <f>V93+V95</f>
        <v>77572.408458039223</v>
      </c>
      <c r="W97" s="306">
        <f>W93+W95</f>
        <v>82393.399999999994</v>
      </c>
      <c r="X97"/>
      <c r="Y97"/>
      <c r="Z97"/>
      <c r="AA97"/>
      <c r="AB97"/>
      <c r="AC97"/>
    </row>
    <row r="98" spans="1:29" ht="12.75" customHeight="1" x14ac:dyDescent="0.2">
      <c r="A98" s="326" t="s">
        <v>598</v>
      </c>
      <c r="B98" s="321">
        <v>62062.291517380923</v>
      </c>
      <c r="C98" s="322">
        <f t="shared" si="15"/>
        <v>120.01026139137363</v>
      </c>
      <c r="D98" s="322">
        <f t="shared" si="16"/>
        <v>104.48588188422596</v>
      </c>
      <c r="E98" s="369">
        <f t="shared" si="17"/>
        <v>114.85787287927494</v>
      </c>
      <c r="F98" s="578">
        <f>F6+F18+F66+F72-F113</f>
        <v>71283.427896998415</v>
      </c>
      <c r="G98" s="579">
        <f>G6+G18+G66+G72-G113</f>
        <v>74481.118275485147</v>
      </c>
      <c r="H98" s="580">
        <v>62060</v>
      </c>
      <c r="I98"/>
      <c r="J98"/>
      <c r="K98" s="577">
        <v>74480</v>
      </c>
      <c r="L98" s="325"/>
      <c r="M98" s="581">
        <f>G98-H98</f>
        <v>12421.118275485147</v>
      </c>
      <c r="N98" s="566" t="s">
        <v>599</v>
      </c>
      <c r="O98" s="321">
        <f t="shared" ref="O98:T98" si="21">B$102</f>
        <v>21003.066407136619</v>
      </c>
      <c r="P98" s="582">
        <f t="shared" si="21"/>
        <v>116.97378935252087</v>
      </c>
      <c r="Q98" s="582">
        <f t="shared" si="21"/>
        <v>102.24441378733719</v>
      </c>
      <c r="R98" s="582">
        <f t="shared" si="21"/>
        <v>114.40604432025007</v>
      </c>
      <c r="S98" s="321">
        <f t="shared" si="21"/>
        <v>24028.777462360275</v>
      </c>
      <c r="T98" s="583">
        <f t="shared" si="21"/>
        <v>24568.082656654064</v>
      </c>
      <c r="X98"/>
      <c r="Y98"/>
      <c r="Z98"/>
      <c r="AA98"/>
      <c r="AB98"/>
      <c r="AC98"/>
    </row>
    <row r="99" spans="1:29" ht="12.75" customHeight="1" x14ac:dyDescent="0.2">
      <c r="A99" s="326" t="s">
        <v>445</v>
      </c>
      <c r="B99" s="321">
        <v>47944.999999999993</v>
      </c>
      <c r="C99" s="322">
        <f t="shared" si="15"/>
        <v>117.42104370251045</v>
      </c>
      <c r="D99" s="322">
        <f t="shared" si="16"/>
        <v>103.71154052164199</v>
      </c>
      <c r="E99" s="369">
        <f t="shared" si="17"/>
        <v>113.21887912561439</v>
      </c>
      <c r="F99" s="324">
        <f>F7+F31+F47+F52+F67+F75</f>
        <v>54282.791596775816</v>
      </c>
      <c r="G99" s="579">
        <f>G7+G31+G47+G52+G67+G75</f>
        <v>56297.519403168626</v>
      </c>
      <c r="H99" s="584">
        <v>47945</v>
      </c>
      <c r="I99"/>
      <c r="J99"/>
      <c r="K99" s="585">
        <v>56300</v>
      </c>
      <c r="L99" s="325"/>
      <c r="M99" s="581">
        <f>G99-H99</f>
        <v>8352.519403168626</v>
      </c>
      <c r="N99" s="305">
        <v>50635</v>
      </c>
      <c r="X99"/>
      <c r="Y99"/>
      <c r="Z99"/>
      <c r="AA99"/>
      <c r="AB99"/>
      <c r="AC99"/>
    </row>
    <row r="100" spans="1:29" ht="12.75" customHeight="1" x14ac:dyDescent="0.2">
      <c r="A100" s="326" t="s">
        <v>104</v>
      </c>
      <c r="B100" s="321">
        <v>20334</v>
      </c>
      <c r="C100" s="547">
        <f t="shared" si="15"/>
        <v>109.04400531702869</v>
      </c>
      <c r="D100" s="547">
        <f t="shared" si="16"/>
        <v>103.32267873433365</v>
      </c>
      <c r="E100" s="547">
        <f t="shared" si="17"/>
        <v>105.53733861024439</v>
      </c>
      <c r="F100" s="578">
        <f>F8+F34+F48+F55+F68+F78</f>
        <v>21459.962433007095</v>
      </c>
      <c r="G100" s="579">
        <f>G8+G34+G48+G55+G68+G78</f>
        <v>22173.008041164612</v>
      </c>
      <c r="H100" s="586">
        <v>20333.400000000001</v>
      </c>
      <c r="I100"/>
      <c r="J100"/>
      <c r="K100" s="587">
        <v>22172.5</v>
      </c>
      <c r="L100"/>
      <c r="M100" s="581">
        <f>G100-H100</f>
        <v>1839.6080411646108</v>
      </c>
      <c r="N100" s="566" t="s">
        <v>600</v>
      </c>
      <c r="O100" s="304" t="str">
        <f>B$2</f>
        <v>DEF 2021</v>
      </c>
      <c r="P100" s="310"/>
      <c r="Q100" s="310"/>
      <c r="R100" s="310"/>
      <c r="S100" s="310"/>
      <c r="T100" s="304" t="str">
        <f>G$2</f>
        <v>SD 2021</v>
      </c>
    </row>
    <row r="101" spans="1:29" ht="12.75" customHeight="1" x14ac:dyDescent="0.25">
      <c r="A101" s="474" t="s">
        <v>601</v>
      </c>
      <c r="B101" s="321">
        <v>36019.066407136619</v>
      </c>
      <c r="C101" s="322">
        <f t="shared" si="15"/>
        <v>116.24515652480835</v>
      </c>
      <c r="D101" s="322">
        <f t="shared" si="16"/>
        <v>102.5024915511154</v>
      </c>
      <c r="E101" s="369">
        <f t="shared" si="17"/>
        <v>113.40715212453138</v>
      </c>
      <c r="F101" s="324">
        <f>SUM(F102:F104)</f>
        <v>40848.197434177404</v>
      </c>
      <c r="G101" s="321">
        <f>SUM(G102:G104)</f>
        <v>41870.420123750628</v>
      </c>
      <c r="H101" s="588">
        <f>SUM(H102:H104)</f>
        <v>36019</v>
      </c>
      <c r="I101"/>
      <c r="J101"/>
      <c r="K101" s="587">
        <v>41500</v>
      </c>
      <c r="L101" s="325"/>
      <c r="M101" s="565">
        <f>G101</f>
        <v>41870.420123750628</v>
      </c>
      <c r="N101" s="310"/>
      <c r="O101" s="570" t="s">
        <v>433</v>
      </c>
      <c r="P101" s="570" t="s">
        <v>434</v>
      </c>
      <c r="Q101" s="571" t="s">
        <v>435</v>
      </c>
      <c r="R101" s="570" t="s">
        <v>436</v>
      </c>
      <c r="S101" s="572" t="s">
        <v>437</v>
      </c>
      <c r="T101" s="570" t="s">
        <v>433</v>
      </c>
      <c r="U101" s="589" t="s">
        <v>602</v>
      </c>
      <c r="V101" s="589" t="s">
        <v>603</v>
      </c>
      <c r="W101" s="589" t="s">
        <v>604</v>
      </c>
      <c r="X101" s="570" t="s">
        <v>605</v>
      </c>
    </row>
    <row r="102" spans="1:29" ht="12" customHeight="1" x14ac:dyDescent="0.2">
      <c r="A102" s="326" t="s">
        <v>95</v>
      </c>
      <c r="B102" s="321">
        <v>21003.066407136619</v>
      </c>
      <c r="C102" s="322">
        <f t="shared" si="15"/>
        <v>116.97378935252087</v>
      </c>
      <c r="D102" s="322">
        <f t="shared" si="16"/>
        <v>102.24441378733719</v>
      </c>
      <c r="E102" s="369">
        <f t="shared" si="17"/>
        <v>114.40604432025007</v>
      </c>
      <c r="F102" s="324">
        <f>F17+F71</f>
        <v>24028.777462360275</v>
      </c>
      <c r="G102" s="321">
        <f>G17+G71</f>
        <v>24568.082656654064</v>
      </c>
      <c r="H102" s="590">
        <v>21003</v>
      </c>
      <c r="I102"/>
      <c r="J102"/>
      <c r="K102" s="591"/>
      <c r="L102"/>
      <c r="M102" s="565" t="s">
        <v>606</v>
      </c>
      <c r="N102" s="310" t="s">
        <v>607</v>
      </c>
      <c r="O102" s="324">
        <f t="shared" ref="O102:T102" si="22">B$33</f>
        <v>188.8824079570189</v>
      </c>
      <c r="P102" s="592">
        <f t="shared" si="22"/>
        <v>114.05682087781732</v>
      </c>
      <c r="Q102" s="592">
        <f t="shared" si="22"/>
        <v>104.38908659549229</v>
      </c>
      <c r="R102" s="592">
        <f t="shared" si="22"/>
        <v>109.26125</v>
      </c>
      <c r="S102" s="324">
        <f t="shared" si="22"/>
        <v>206.37527996393831</v>
      </c>
      <c r="T102" s="324">
        <f t="shared" si="22"/>
        <v>215.43326971324521</v>
      </c>
      <c r="U102" s="310" t="s">
        <v>510</v>
      </c>
      <c r="V102" s="547">
        <f>Q$52</f>
        <v>102.53654233021112</v>
      </c>
      <c r="W102" s="310"/>
      <c r="X102" s="547">
        <f>P102-V102</f>
        <v>11.520278547606196</v>
      </c>
    </row>
    <row r="103" spans="1:29" ht="12.75" customHeight="1" x14ac:dyDescent="0.2">
      <c r="A103" s="326" t="s">
        <v>445</v>
      </c>
      <c r="B103" s="321">
        <v>9836</v>
      </c>
      <c r="C103" s="322">
        <f t="shared" si="15"/>
        <v>117.34291069225804</v>
      </c>
      <c r="D103" s="322">
        <f t="shared" si="16"/>
        <v>103.01639224185388</v>
      </c>
      <c r="E103" s="369">
        <f t="shared" si="17"/>
        <v>113.90702793859202</v>
      </c>
      <c r="F103" s="324">
        <f>SUM(F30,F51,F74)</f>
        <v>11203.895268039911</v>
      </c>
      <c r="G103" s="321">
        <f>SUM(G30,G51,G74)</f>
        <v>11541.848695690502</v>
      </c>
      <c r="H103" s="590">
        <v>9836</v>
      </c>
      <c r="I103"/>
      <c r="J103"/>
      <c r="K103" s="306"/>
      <c r="L103" s="325"/>
      <c r="M103" s="565" t="s">
        <v>608</v>
      </c>
      <c r="N103" s="310" t="s">
        <v>609</v>
      </c>
      <c r="O103" s="324">
        <f t="shared" ref="O103:T103" si="23">B$54</f>
        <v>4493.6403126097384</v>
      </c>
      <c r="P103" s="592">
        <f t="shared" si="23"/>
        <v>110.53768414624841</v>
      </c>
      <c r="Q103" s="592">
        <f t="shared" si="23"/>
        <v>102.29753453934818</v>
      </c>
      <c r="R103" s="592">
        <f t="shared" si="23"/>
        <v>108.05508133114461</v>
      </c>
      <c r="S103" s="324">
        <f t="shared" si="23"/>
        <v>4855.6066945195535</v>
      </c>
      <c r="T103" s="324">
        <f t="shared" si="23"/>
        <v>4967.1659354210424</v>
      </c>
      <c r="U103" s="310" t="s">
        <v>510</v>
      </c>
      <c r="V103" s="547">
        <f>Q$52</f>
        <v>102.53654233021112</v>
      </c>
      <c r="W103" s="310"/>
      <c r="X103" s="547">
        <f>P103-V103</f>
        <v>8.0011418160372898</v>
      </c>
    </row>
    <row r="104" spans="1:29" ht="12.75" customHeight="1" x14ac:dyDescent="0.2">
      <c r="A104" s="326" t="s">
        <v>104</v>
      </c>
      <c r="B104" s="321">
        <v>5180</v>
      </c>
      <c r="C104" s="322">
        <f t="shared" si="15"/>
        <v>111.20634693834093</v>
      </c>
      <c r="D104" s="322">
        <f t="shared" si="16"/>
        <v>102.58148748827216</v>
      </c>
      <c r="E104" s="369">
        <f t="shared" si="17"/>
        <v>108.40781281423205</v>
      </c>
      <c r="F104" s="324">
        <f>SUM(F33,F54,F77)</f>
        <v>5615.5247037772197</v>
      </c>
      <c r="G104" s="321">
        <f>SUM(G33,G54,G77)</f>
        <v>5760.4887714060606</v>
      </c>
      <c r="H104" s="590">
        <v>5180</v>
      </c>
      <c r="I104"/>
      <c r="J104"/>
      <c r="K104" s="593"/>
      <c r="L104"/>
      <c r="M104" s="565" t="s">
        <v>610</v>
      </c>
      <c r="N104" s="310" t="s">
        <v>597</v>
      </c>
      <c r="O104" s="324">
        <f t="shared" ref="O104:T104" si="24">B$77</f>
        <v>497.47727943324287</v>
      </c>
      <c r="P104" s="592">
        <f t="shared" si="24"/>
        <v>116.16401193842289</v>
      </c>
      <c r="Q104" s="592">
        <f t="shared" si="24"/>
        <v>104.39836632108074</v>
      </c>
      <c r="R104" s="592">
        <f t="shared" si="24"/>
        <v>111.26995185073731</v>
      </c>
      <c r="S104" s="324">
        <f t="shared" si="24"/>
        <v>553.54272929372723</v>
      </c>
      <c r="T104" s="324">
        <f t="shared" si="24"/>
        <v>577.88956627177367</v>
      </c>
      <c r="U104" s="310" t="s">
        <v>611</v>
      </c>
      <c r="V104" s="547">
        <f>X$80</f>
        <v>0</v>
      </c>
      <c r="W104" s="310"/>
      <c r="X104" s="547">
        <f>P104-V104</f>
        <v>116.16401193842289</v>
      </c>
      <c r="Z104" s="306"/>
      <c r="AA104" s="594"/>
      <c r="AB104" s="595"/>
      <c r="AC104" s="306"/>
    </row>
    <row r="105" spans="1:29" ht="12.75" customHeight="1" x14ac:dyDescent="0.2">
      <c r="A105" s="474" t="s">
        <v>612</v>
      </c>
      <c r="B105" s="321">
        <v>45180</v>
      </c>
      <c r="C105" s="322">
        <f t="shared" si="15"/>
        <v>115.04</v>
      </c>
      <c r="D105" s="592">
        <f t="shared" si="16"/>
        <v>103.2</v>
      </c>
      <c r="E105" s="369">
        <f t="shared" si="17"/>
        <v>111.47286821705427</v>
      </c>
      <c r="F105" s="324">
        <f>SUM(F106:F108)</f>
        <v>50363.441860465115</v>
      </c>
      <c r="G105" s="321">
        <f>SUM(G106:G108)</f>
        <v>51975.072</v>
      </c>
      <c r="H105"/>
      <c r="I105"/>
      <c r="J105"/>
      <c r="K105"/>
      <c r="L105" s="325"/>
      <c r="M105" s="565">
        <v>43208</v>
      </c>
      <c r="N105" s="566" t="s">
        <v>599</v>
      </c>
      <c r="O105" s="321">
        <f t="shared" ref="O105:T105" si="25">B$104</f>
        <v>5180</v>
      </c>
      <c r="P105" s="596">
        <f t="shared" si="25"/>
        <v>111.20634693834093</v>
      </c>
      <c r="Q105" s="596">
        <f t="shared" si="25"/>
        <v>102.58148748827216</v>
      </c>
      <c r="R105" s="596">
        <f t="shared" si="25"/>
        <v>108.40781281423205</v>
      </c>
      <c r="S105" s="321">
        <f t="shared" si="25"/>
        <v>5615.5247037772197</v>
      </c>
      <c r="T105" s="583">
        <f t="shared" si="25"/>
        <v>5760.4887714060606</v>
      </c>
      <c r="U105" s="334"/>
      <c r="Z105" s="306"/>
      <c r="AA105" s="594"/>
      <c r="AB105" s="595"/>
      <c r="AC105" s="306"/>
    </row>
    <row r="106" spans="1:29" ht="14.65" customHeight="1" x14ac:dyDescent="0.2">
      <c r="A106" s="326" t="s">
        <v>95</v>
      </c>
      <c r="B106" s="321">
        <v>12205.526706231456</v>
      </c>
      <c r="C106" s="597">
        <v>115.04</v>
      </c>
      <c r="D106" s="598">
        <v>103.2</v>
      </c>
      <c r="E106" s="369">
        <f t="shared" si="17"/>
        <v>111.47286821705427</v>
      </c>
      <c r="F106" s="324">
        <f>G106/D106*100</f>
        <v>13605.850700434754</v>
      </c>
      <c r="G106" s="321">
        <f>B106*C106/100</f>
        <v>14041.237922848668</v>
      </c>
      <c r="H106" s="325"/>
      <c r="I106"/>
      <c r="J106"/>
      <c r="K106" s="599"/>
      <c r="L106"/>
      <c r="M106" s="565"/>
      <c r="Z106" s="306"/>
      <c r="AB106" s="595"/>
    </row>
    <row r="107" spans="1:29" ht="14.65" customHeight="1" x14ac:dyDescent="0.2">
      <c r="A107" s="326" t="s">
        <v>445</v>
      </c>
      <c r="B107" s="321">
        <v>23503.319732937682</v>
      </c>
      <c r="C107" s="597">
        <f>C$106</f>
        <v>115.04</v>
      </c>
      <c r="D107" s="598">
        <v>103.2</v>
      </c>
      <c r="E107" s="369">
        <f t="shared" si="17"/>
        <v>111.47286821705427</v>
      </c>
      <c r="F107" s="324">
        <f>G107/D107*100</f>
        <v>26199.824632530534</v>
      </c>
      <c r="G107" s="321">
        <f>B107*C107/100</f>
        <v>27038.21902077151</v>
      </c>
      <c r="H107" s="319"/>
      <c r="I107" s="319"/>
      <c r="J107" s="319"/>
      <c r="K107" s="319"/>
      <c r="L107"/>
      <c r="M107" s="565"/>
      <c r="N107" s="566" t="s">
        <v>613</v>
      </c>
      <c r="O107" s="304" t="str">
        <f>B$2</f>
        <v>DEF 2021</v>
      </c>
      <c r="P107" s="310"/>
      <c r="Q107" s="310"/>
      <c r="R107" s="310"/>
      <c r="S107" s="310"/>
      <c r="T107" s="600" t="str">
        <f>G$2</f>
        <v>SD 2021</v>
      </c>
      <c r="Z107"/>
      <c r="AA107"/>
      <c r="AB107"/>
    </row>
    <row r="108" spans="1:29" ht="15.6" customHeight="1" x14ac:dyDescent="0.2">
      <c r="A108" s="326" t="s">
        <v>104</v>
      </c>
      <c r="B108" s="321">
        <v>9471.1535608308623</v>
      </c>
      <c r="C108" s="597">
        <f>C$106</f>
        <v>115.04</v>
      </c>
      <c r="D108" s="598">
        <v>103.2</v>
      </c>
      <c r="E108" s="369">
        <f t="shared" si="17"/>
        <v>111.47286821705427</v>
      </c>
      <c r="F108" s="324">
        <f>G108/D108*100</f>
        <v>10557.766527499829</v>
      </c>
      <c r="G108" s="321">
        <f>B108*C108/100</f>
        <v>10895.615056379824</v>
      </c>
      <c r="H108" s="325"/>
      <c r="I108" s="325"/>
      <c r="J108" s="325"/>
      <c r="K108" s="325"/>
      <c r="L108"/>
      <c r="M108" s="601"/>
      <c r="N108" s="310"/>
      <c r="O108" s="570" t="s">
        <v>433</v>
      </c>
      <c r="P108" s="570" t="s">
        <v>434</v>
      </c>
      <c r="Q108" s="571" t="s">
        <v>435</v>
      </c>
      <c r="R108" s="570" t="s">
        <v>436</v>
      </c>
      <c r="S108" s="572" t="s">
        <v>437</v>
      </c>
      <c r="T108" s="602" t="s">
        <v>433</v>
      </c>
      <c r="U108" s="603" t="s">
        <v>614</v>
      </c>
      <c r="V108" s="603" t="s">
        <v>615</v>
      </c>
      <c r="W108" s="603" t="s">
        <v>616</v>
      </c>
      <c r="X108" s="604" t="s">
        <v>605</v>
      </c>
      <c r="Z108"/>
      <c r="AA108"/>
      <c r="AB108"/>
    </row>
    <row r="109" spans="1:29" ht="12.75" customHeight="1" x14ac:dyDescent="0.2">
      <c r="A109" s="474" t="s">
        <v>617</v>
      </c>
      <c r="B109" s="321">
        <v>211967.25792451753</v>
      </c>
      <c r="C109" s="605">
        <f>G109/B109*100</f>
        <v>115.90966465729366</v>
      </c>
      <c r="D109" s="547">
        <f>G109/F109*100</f>
        <v>103.58788347753351</v>
      </c>
      <c r="E109" s="547">
        <f t="shared" si="17"/>
        <v>111.89500235559164</v>
      </c>
      <c r="F109" s="324">
        <f>SUM(F110:F112)+F113</f>
        <v>237180.76824772189</v>
      </c>
      <c r="G109" s="606">
        <f>SUM(G110:G112)+G113</f>
        <v>245690.53784356898</v>
      </c>
      <c r="H109"/>
      <c r="I109"/>
      <c r="J109"/>
      <c r="K109"/>
      <c r="L109"/>
      <c r="M109" s="565" t="s">
        <v>618</v>
      </c>
      <c r="N109" s="310" t="s">
        <v>619</v>
      </c>
      <c r="O109" s="324">
        <f t="shared" ref="O109:T109" si="26">B$30</f>
        <v>2824</v>
      </c>
      <c r="P109" s="592">
        <f t="shared" si="26"/>
        <v>114.05682087781732</v>
      </c>
      <c r="Q109" s="592">
        <f t="shared" si="26"/>
        <v>104.38908659549229</v>
      </c>
      <c r="R109" s="592">
        <f t="shared" si="26"/>
        <v>109.26125</v>
      </c>
      <c r="S109" s="324">
        <f t="shared" si="26"/>
        <v>3085.5376999999999</v>
      </c>
      <c r="T109" s="607">
        <f t="shared" si="26"/>
        <v>3220.9646215895609</v>
      </c>
      <c r="U109" s="608" t="s">
        <v>510</v>
      </c>
      <c r="V109" s="609">
        <f>Q$52</f>
        <v>102.53654233021112</v>
      </c>
      <c r="W109" s="608"/>
      <c r="X109" s="610">
        <f>P109-V109</f>
        <v>11.520278547606196</v>
      </c>
      <c r="Z109"/>
      <c r="AA109"/>
      <c r="AB109"/>
    </row>
    <row r="110" spans="1:29" ht="12.75" customHeight="1" x14ac:dyDescent="0.2">
      <c r="A110" s="326" t="s">
        <v>620</v>
      </c>
      <c r="B110" s="321">
        <v>95270.884630748988</v>
      </c>
      <c r="C110" s="547">
        <f>G110/B110*100</f>
        <v>118.70409232926087</v>
      </c>
      <c r="D110" s="547">
        <f>G110/F110*100</f>
        <v>103.83075400547352</v>
      </c>
      <c r="E110" s="547">
        <f t="shared" si="17"/>
        <v>114.32459820430782</v>
      </c>
      <c r="F110" s="324">
        <f t="shared" ref="F110:G112" si="27">F98+F102+F106</f>
        <v>108918.05605979344</v>
      </c>
      <c r="G110" s="321">
        <f t="shared" si="27"/>
        <v>113090.43885498788</v>
      </c>
      <c r="H110"/>
      <c r="I110"/>
      <c r="J110"/>
      <c r="K110"/>
      <c r="L110"/>
      <c r="M110" s="565" t="s">
        <v>621</v>
      </c>
      <c r="N110" s="310" t="s">
        <v>622</v>
      </c>
      <c r="O110" s="324">
        <f t="shared" ref="O110:T110" si="28">B$51</f>
        <v>6322</v>
      </c>
      <c r="P110" s="592">
        <f t="shared" si="28"/>
        <v>119.03768414624841</v>
      </c>
      <c r="Q110" s="592">
        <f t="shared" si="28"/>
        <v>102.29753453934818</v>
      </c>
      <c r="R110" s="592">
        <f t="shared" si="28"/>
        <v>116.36417698850916</v>
      </c>
      <c r="S110" s="324">
        <f t="shared" si="28"/>
        <v>7356.5432692135491</v>
      </c>
      <c r="T110" s="607">
        <f t="shared" si="28"/>
        <v>7525.5623917258235</v>
      </c>
      <c r="U110" s="608" t="s">
        <v>510</v>
      </c>
      <c r="V110" s="609">
        <f>Q$52</f>
        <v>102.53654233021112</v>
      </c>
      <c r="W110" s="608"/>
      <c r="X110" s="610">
        <f>P110-V110</f>
        <v>16.50114181603729</v>
      </c>
      <c r="Z110"/>
      <c r="AA110"/>
      <c r="AB110"/>
    </row>
    <row r="111" spans="1:29" ht="12.75" customHeight="1" x14ac:dyDescent="0.2">
      <c r="A111" s="326" t="s">
        <v>445</v>
      </c>
      <c r="B111" s="321">
        <v>81284.319732937671</v>
      </c>
      <c r="C111" s="547">
        <f>G111/B111*100</f>
        <v>116.7231114578483</v>
      </c>
      <c r="D111" s="547">
        <f>G111/F111*100</f>
        <v>103.48041993328181</v>
      </c>
      <c r="E111" s="547">
        <f t="shared" si="17"/>
        <v>112.79729202210873</v>
      </c>
      <c r="F111" s="324">
        <f t="shared" si="27"/>
        <v>91686.511497346262</v>
      </c>
      <c r="G111" s="321">
        <f t="shared" si="27"/>
        <v>94877.587119630625</v>
      </c>
      <c r="H111"/>
      <c r="I111"/>
      <c r="J111"/>
      <c r="K111"/>
      <c r="L111"/>
      <c r="M111" s="565" t="s">
        <v>623</v>
      </c>
      <c r="N111" s="310" t="s">
        <v>597</v>
      </c>
      <c r="O111" s="324">
        <f t="shared" ref="O111:T111" si="29">B$74</f>
        <v>690</v>
      </c>
      <c r="P111" s="592">
        <f t="shared" si="29"/>
        <v>115.26401193842288</v>
      </c>
      <c r="Q111" s="592">
        <f t="shared" si="29"/>
        <v>104.39836632108074</v>
      </c>
      <c r="R111" s="592">
        <f t="shared" si="29"/>
        <v>110.40786939512491</v>
      </c>
      <c r="S111" s="324">
        <f t="shared" si="29"/>
        <v>761.81429882636178</v>
      </c>
      <c r="T111" s="607">
        <f t="shared" si="29"/>
        <v>795.32168237511792</v>
      </c>
      <c r="U111" s="608" t="s">
        <v>575</v>
      </c>
      <c r="V111" s="609">
        <f>P$65</f>
        <v>92.615173262159331</v>
      </c>
      <c r="W111" s="608"/>
      <c r="X111" s="610">
        <f>P111-V111</f>
        <v>22.648838676263551</v>
      </c>
    </row>
    <row r="112" spans="1:29" ht="12.75" customHeight="1" x14ac:dyDescent="0.2">
      <c r="A112" s="326" t="s">
        <v>104</v>
      </c>
      <c r="B112" s="321">
        <v>34985.153560830862</v>
      </c>
      <c r="C112" s="547">
        <f>G112/B112*100</f>
        <v>110.98739870166898</v>
      </c>
      <c r="D112" s="547">
        <f>G112/F112*100</f>
        <v>103.17766360393463</v>
      </c>
      <c r="E112" s="547">
        <f t="shared" si="17"/>
        <v>107.56921103361421</v>
      </c>
      <c r="F112" s="324">
        <f t="shared" si="27"/>
        <v>37633.253664284144</v>
      </c>
      <c r="G112" s="321">
        <f t="shared" si="27"/>
        <v>38829.111868950495</v>
      </c>
      <c r="H112"/>
      <c r="I112"/>
      <c r="J112"/>
      <c r="K112"/>
      <c r="L112"/>
      <c r="M112" s="565"/>
      <c r="N112" s="566" t="s">
        <v>613</v>
      </c>
      <c r="O112" s="321">
        <f t="shared" ref="O112:T112" si="30">B$103</f>
        <v>9836</v>
      </c>
      <c r="P112" s="596">
        <f t="shared" si="30"/>
        <v>117.34291069225804</v>
      </c>
      <c r="Q112" s="596">
        <f t="shared" si="30"/>
        <v>103.01639224185388</v>
      </c>
      <c r="R112" s="596">
        <f t="shared" si="30"/>
        <v>113.90702793859202</v>
      </c>
      <c r="S112" s="321">
        <f t="shared" si="30"/>
        <v>11203.895268039911</v>
      </c>
      <c r="T112" s="583">
        <f t="shared" si="30"/>
        <v>11541.848695690502</v>
      </c>
    </row>
    <row r="113" spans="1:35" ht="12.75" customHeight="1" x14ac:dyDescent="0.2">
      <c r="A113" s="474" t="s">
        <v>624</v>
      </c>
      <c r="B113" s="611">
        <v>426.9</v>
      </c>
      <c r="C113" s="322">
        <f>G113/B113*100</f>
        <v>-259.21761536659636</v>
      </c>
      <c r="D113" s="373">
        <f>O5</f>
        <v>104.68727940138361</v>
      </c>
      <c r="E113" s="369">
        <f t="shared" si="17"/>
        <v>-247.61137823892142</v>
      </c>
      <c r="F113" s="324">
        <f>G113/D113*100</f>
        <v>-1057.0529737019554</v>
      </c>
      <c r="G113" s="612">
        <v>-1106.5999999999999</v>
      </c>
      <c r="H113"/>
      <c r="I113"/>
      <c r="J113"/>
      <c r="K113"/>
      <c r="L113"/>
      <c r="M113" s="565"/>
      <c r="AA113" s="613" t="s">
        <v>625</v>
      </c>
    </row>
    <row r="114" spans="1:35" ht="12.75" customHeight="1" x14ac:dyDescent="0.2">
      <c r="A114" s="306"/>
      <c r="B114" s="306"/>
      <c r="C114" s="614" t="s">
        <v>626</v>
      </c>
      <c r="D114" s="615">
        <f>D109</f>
        <v>103.58788347753351</v>
      </c>
      <c r="G114" s="616"/>
      <c r="H114"/>
      <c r="I114"/>
      <c r="J114"/>
      <c r="K114"/>
      <c r="L114"/>
      <c r="M114" s="565"/>
      <c r="N114" s="570" t="s">
        <v>627</v>
      </c>
      <c r="O114" s="589" t="str">
        <f>B$2</f>
        <v>DEF 2021</v>
      </c>
      <c r="P114" s="310"/>
      <c r="Q114" s="310"/>
      <c r="R114" s="310"/>
      <c r="S114" s="310"/>
      <c r="T114" s="589" t="s">
        <v>628</v>
      </c>
      <c r="AA114" s="566" t="s">
        <v>629</v>
      </c>
      <c r="AB114" s="310"/>
      <c r="AC114" s="310"/>
    </row>
    <row r="115" spans="1:35" ht="12.75" customHeight="1" x14ac:dyDescent="0.2">
      <c r="A115" s="306"/>
      <c r="B115" s="325"/>
      <c r="C115" s="614" t="s">
        <v>630</v>
      </c>
      <c r="D115" s="617">
        <f>D98</f>
        <v>104.48588188422596</v>
      </c>
      <c r="F115"/>
      <c r="G115" s="618">
        <f>G101+G105</f>
        <v>93845.492123750621</v>
      </c>
      <c r="H115"/>
      <c r="I115"/>
      <c r="J115"/>
      <c r="K115"/>
      <c r="L115"/>
      <c r="M115" s="601"/>
      <c r="N115" s="310"/>
      <c r="O115" s="570" t="s">
        <v>433</v>
      </c>
      <c r="P115" s="570" t="s">
        <v>434</v>
      </c>
      <c r="Q115" s="571" t="s">
        <v>435</v>
      </c>
      <c r="R115" s="570" t="s">
        <v>436</v>
      </c>
      <c r="S115" s="572" t="s">
        <v>437</v>
      </c>
      <c r="T115" s="619" t="s">
        <v>433</v>
      </c>
      <c r="U115" s="589" t="s">
        <v>614</v>
      </c>
      <c r="V115" s="589" t="s">
        <v>615</v>
      </c>
      <c r="W115" s="589" t="s">
        <v>616</v>
      </c>
      <c r="X115" s="570" t="s">
        <v>605</v>
      </c>
      <c r="AA115" s="620" t="s">
        <v>104</v>
      </c>
      <c r="AB115" s="572" t="s">
        <v>437</v>
      </c>
      <c r="AC115" s="570" t="s">
        <v>433</v>
      </c>
      <c r="AE115" s="572" t="s">
        <v>437</v>
      </c>
      <c r="AF115" s="570" t="s">
        <v>433</v>
      </c>
    </row>
    <row r="116" spans="1:35" ht="12.75" customHeight="1" x14ac:dyDescent="0.2">
      <c r="A116"/>
      <c r="B116"/>
      <c r="C116" s="614" t="s">
        <v>631</v>
      </c>
      <c r="D116" s="617">
        <f>D99</f>
        <v>103.71154052164199</v>
      </c>
      <c r="F116"/>
      <c r="G116" s="618">
        <v>81202</v>
      </c>
      <c r="H116"/>
      <c r="I116"/>
      <c r="J116"/>
      <c r="K116"/>
      <c r="L116"/>
      <c r="M116" s="565" t="s">
        <v>632</v>
      </c>
      <c r="N116" s="310" t="s">
        <v>633</v>
      </c>
      <c r="O116" s="324">
        <f t="shared" ref="O116:T116" si="31">B$14</f>
        <v>690</v>
      </c>
      <c r="P116" s="592">
        <f t="shared" si="31"/>
        <v>107.22071156289708</v>
      </c>
      <c r="Q116" s="592">
        <f t="shared" si="31"/>
        <v>104.68727940138361</v>
      </c>
      <c r="R116" s="592">
        <f t="shared" si="31"/>
        <v>102.42</v>
      </c>
      <c r="S116" s="324">
        <f t="shared" si="31"/>
        <v>706.69799999999998</v>
      </c>
      <c r="T116" s="371">
        <f t="shared" si="31"/>
        <v>739.82290978398987</v>
      </c>
      <c r="U116" s="310" t="s">
        <v>634</v>
      </c>
      <c r="V116" s="310">
        <f>Q116*W116/100</f>
        <v>84.95455808564661</v>
      </c>
      <c r="W116" s="546">
        <f>R$20</f>
        <v>81.150793650793645</v>
      </c>
      <c r="X116" s="592">
        <f t="shared" ref="X116:X121" si="32">P116-V116</f>
        <v>22.266153477250469</v>
      </c>
      <c r="AA116" s="310" t="s">
        <v>635</v>
      </c>
      <c r="AB116" s="324">
        <f>S116+S117</f>
        <v>1027.8200909090908</v>
      </c>
      <c r="AC116" s="324">
        <f>T116+T117</f>
        <v>1075.0393273403363</v>
      </c>
      <c r="AD116"/>
      <c r="AE116"/>
      <c r="AF116"/>
      <c r="AG116"/>
    </row>
    <row r="117" spans="1:35" ht="12.75" customHeight="1" x14ac:dyDescent="0.2">
      <c r="B117" s="569"/>
      <c r="C117" s="614" t="s">
        <v>636</v>
      </c>
      <c r="D117" s="617">
        <f>D100</f>
        <v>103.32267873433365</v>
      </c>
      <c r="F117"/>
      <c r="G117" s="325"/>
      <c r="H117"/>
      <c r="I117"/>
      <c r="J117"/>
      <c r="K117"/>
      <c r="L117"/>
      <c r="M117" s="565" t="s">
        <v>637</v>
      </c>
      <c r="N117" s="310" t="s">
        <v>638</v>
      </c>
      <c r="O117" s="324">
        <f t="shared" ref="O117:T117" si="33">B$34</f>
        <v>314</v>
      </c>
      <c r="P117" s="592">
        <f t="shared" si="33"/>
        <v>106.75682087781732</v>
      </c>
      <c r="Q117" s="592">
        <f t="shared" si="33"/>
        <v>104.38908659549229</v>
      </c>
      <c r="R117" s="592">
        <f t="shared" si="33"/>
        <v>102.26818181818183</v>
      </c>
      <c r="S117" s="324">
        <f t="shared" si="33"/>
        <v>321.1220909090909</v>
      </c>
      <c r="T117" s="371">
        <f t="shared" si="33"/>
        <v>335.21641755634636</v>
      </c>
      <c r="U117" s="310" t="s">
        <v>510</v>
      </c>
      <c r="V117" s="547">
        <f>Q$52</f>
        <v>102.53654233021112</v>
      </c>
      <c r="W117" s="310"/>
      <c r="X117" s="592">
        <f t="shared" si="32"/>
        <v>4.220278547606199</v>
      </c>
      <c r="AA117" s="310" t="s">
        <v>639</v>
      </c>
      <c r="AB117" s="324">
        <f>S118+S119</f>
        <v>15193.415425757348</v>
      </c>
      <c r="AC117" s="324">
        <f>T118+T119</f>
        <v>15628.823397141898</v>
      </c>
      <c r="AD117"/>
      <c r="AE117"/>
      <c r="AF117"/>
      <c r="AG117"/>
    </row>
    <row r="118" spans="1:35" ht="12.75" customHeight="1" x14ac:dyDescent="0.2">
      <c r="B118" s="325"/>
      <c r="C118" s="325"/>
      <c r="D118" s="325"/>
      <c r="E118" s="599"/>
      <c r="F118" s="325"/>
      <c r="G118" s="325"/>
      <c r="H118"/>
      <c r="I118"/>
      <c r="J118"/>
      <c r="K118"/>
      <c r="L118"/>
      <c r="M118" s="565" t="s">
        <v>640</v>
      </c>
      <c r="N118" s="310" t="s">
        <v>494</v>
      </c>
      <c r="O118" s="324">
        <f t="shared" ref="O118:T118" si="34">B$48</f>
        <v>5052</v>
      </c>
      <c r="P118" s="592">
        <f t="shared" si="34"/>
        <v>116.69133627019093</v>
      </c>
      <c r="Q118" s="592">
        <f t="shared" si="34"/>
        <v>103.81791483113072</v>
      </c>
      <c r="R118" s="592">
        <f t="shared" si="34"/>
        <v>112.4</v>
      </c>
      <c r="S118" s="324">
        <f t="shared" si="34"/>
        <v>5678.4480000000003</v>
      </c>
      <c r="T118" s="371">
        <f t="shared" si="34"/>
        <v>5895.2463083700459</v>
      </c>
      <c r="U118" s="310" t="s">
        <v>641</v>
      </c>
      <c r="V118" s="547">
        <f>Q38</f>
        <v>106.1</v>
      </c>
      <c r="W118" s="547">
        <f>V118/Q118*100</f>
        <v>102.19816124469585</v>
      </c>
      <c r="X118" s="592">
        <f t="shared" si="32"/>
        <v>10.591336270190936</v>
      </c>
      <c r="AA118" s="310" t="s">
        <v>534</v>
      </c>
      <c r="AB118" s="324">
        <f>S120+S121</f>
        <v>5238.7269163406563</v>
      </c>
      <c r="AC118" s="324">
        <f>T120+T121</f>
        <v>5469.1453166823758</v>
      </c>
      <c r="AD118"/>
      <c r="AE118"/>
      <c r="AF118"/>
      <c r="AG118"/>
    </row>
    <row r="119" spans="1:35" ht="12.75" customHeight="1" x14ac:dyDescent="0.2">
      <c r="C119"/>
      <c r="D119"/>
      <c r="E119"/>
      <c r="F119"/>
      <c r="G119"/>
      <c r="H119"/>
      <c r="I119"/>
      <c r="J119"/>
      <c r="K119"/>
      <c r="L119"/>
      <c r="M119" s="565" t="s">
        <v>642</v>
      </c>
      <c r="N119" s="310" t="s">
        <v>643</v>
      </c>
      <c r="O119" s="324">
        <f t="shared" ref="O119:T119" si="35">B$55</f>
        <v>9280</v>
      </c>
      <c r="P119" s="592">
        <f t="shared" si="35"/>
        <v>104.8876841462484</v>
      </c>
      <c r="Q119" s="592">
        <f t="shared" si="35"/>
        <v>102.29753453934818</v>
      </c>
      <c r="R119" s="592">
        <f t="shared" si="35"/>
        <v>102.53197657066107</v>
      </c>
      <c r="S119" s="324">
        <f t="shared" si="35"/>
        <v>9514.9674257573479</v>
      </c>
      <c r="T119" s="371">
        <f t="shared" si="35"/>
        <v>9733.5770887718518</v>
      </c>
      <c r="U119" s="310" t="s">
        <v>510</v>
      </c>
      <c r="V119" s="547">
        <f>Q$52</f>
        <v>102.53654233021112</v>
      </c>
      <c r="W119" s="310"/>
      <c r="X119" s="592">
        <f t="shared" si="32"/>
        <v>2.3511418160372841</v>
      </c>
      <c r="AA119" s="310" t="s">
        <v>644</v>
      </c>
      <c r="AB119" s="324">
        <f>SUM(AB116:AB118)</f>
        <v>21459.962433007095</v>
      </c>
      <c r="AC119" s="324">
        <f>SUM(AC116:AC118)</f>
        <v>22173.008041164612</v>
      </c>
      <c r="AD119"/>
      <c r="AE119"/>
      <c r="AF119"/>
      <c r="AG119"/>
    </row>
    <row r="120" spans="1:35" ht="12.75" customHeight="1" x14ac:dyDescent="0.2">
      <c r="A120"/>
      <c r="C120"/>
      <c r="D120"/>
      <c r="E120"/>
      <c r="F120"/>
      <c r="G120"/>
      <c r="H120"/>
      <c r="I120"/>
      <c r="J120"/>
      <c r="K120"/>
      <c r="L120"/>
      <c r="M120" s="565" t="s">
        <v>645</v>
      </c>
      <c r="N120" s="310" t="s">
        <v>646</v>
      </c>
      <c r="O120" s="324">
        <f t="shared" ref="O120:T120" si="36">B$68</f>
        <v>3954</v>
      </c>
      <c r="P120" s="592">
        <f t="shared" si="36"/>
        <v>109.36401193842288</v>
      </c>
      <c r="Q120" s="592">
        <f t="shared" si="36"/>
        <v>104.39836632108074</v>
      </c>
      <c r="R120" s="592">
        <f t="shared" si="36"/>
        <v>104.75643996388806</v>
      </c>
      <c r="S120" s="324">
        <f t="shared" si="36"/>
        <v>4142.0696361721339</v>
      </c>
      <c r="T120" s="371">
        <f t="shared" si="36"/>
        <v>4324.2530320452406</v>
      </c>
      <c r="U120" s="310" t="s">
        <v>575</v>
      </c>
      <c r="V120" s="547">
        <f>P65</f>
        <v>92.615173262159331</v>
      </c>
      <c r="W120" s="310"/>
      <c r="X120" s="592">
        <f t="shared" si="32"/>
        <v>16.748838676263546</v>
      </c>
      <c r="AA120" s="620" t="s">
        <v>104</v>
      </c>
      <c r="AB120" s="572" t="s">
        <v>437</v>
      </c>
      <c r="AC120" s="570" t="s">
        <v>433</v>
      </c>
    </row>
    <row r="121" spans="1:35" ht="12.75" customHeight="1" x14ac:dyDescent="0.2">
      <c r="A121"/>
      <c r="C121"/>
      <c r="D121"/>
      <c r="E121"/>
      <c r="F121"/>
      <c r="G121"/>
      <c r="H121"/>
      <c r="I121"/>
      <c r="J121"/>
      <c r="K121"/>
      <c r="L121"/>
      <c r="M121" s="565" t="s">
        <v>647</v>
      </c>
      <c r="N121" s="310" t="s">
        <v>648</v>
      </c>
      <c r="O121" s="324">
        <f t="shared" ref="O121:T121" si="37">B$78</f>
        <v>1044</v>
      </c>
      <c r="P121" s="592">
        <f t="shared" si="37"/>
        <v>109.66401193842289</v>
      </c>
      <c r="Q121" s="592">
        <f t="shared" si="37"/>
        <v>104.39836632108074</v>
      </c>
      <c r="R121" s="592">
        <f t="shared" si="37"/>
        <v>105.04380078242555</v>
      </c>
      <c r="S121" s="324">
        <f t="shared" si="37"/>
        <v>1096.6572801685227</v>
      </c>
      <c r="T121" s="371">
        <f t="shared" si="37"/>
        <v>1144.8922846371349</v>
      </c>
      <c r="U121" s="310" t="s">
        <v>575</v>
      </c>
      <c r="V121" s="547">
        <f>X81</f>
        <v>90.55286211574662</v>
      </c>
      <c r="W121" s="310"/>
      <c r="X121" s="592">
        <f t="shared" si="32"/>
        <v>19.111149822676268</v>
      </c>
      <c r="AA121" s="608" t="s">
        <v>635</v>
      </c>
      <c r="AB121" s="621">
        <f t="shared" ref="AB121:AC123" si="38">AB116/AB$119*AA$110</f>
        <v>0</v>
      </c>
      <c r="AC121" s="621">
        <f t="shared" si="38"/>
        <v>0</v>
      </c>
      <c r="AE121" s="306">
        <f t="shared" ref="AE121:AF123" si="39">AB116/AB$119*AE$124</f>
        <v>1028.0278377080374</v>
      </c>
      <c r="AF121" s="306">
        <f>AC116/AC$119*AF$124</f>
        <v>1075.019543813522</v>
      </c>
    </row>
    <row r="122" spans="1:35" ht="12.75" customHeight="1" x14ac:dyDescent="0.2">
      <c r="A122"/>
      <c r="C122"/>
      <c r="D122"/>
      <c r="E122"/>
      <c r="F122"/>
      <c r="G122"/>
      <c r="H122"/>
      <c r="I122"/>
      <c r="J122"/>
      <c r="K122"/>
      <c r="L122"/>
      <c r="M122" s="565"/>
      <c r="N122" s="566" t="s">
        <v>627</v>
      </c>
      <c r="O122" s="324">
        <f t="shared" ref="O122:T122" si="40">B$100</f>
        <v>20334</v>
      </c>
      <c r="P122" s="592">
        <f t="shared" si="40"/>
        <v>109.04400531702869</v>
      </c>
      <c r="Q122" s="592">
        <f t="shared" si="40"/>
        <v>103.32267873433365</v>
      </c>
      <c r="R122" s="592">
        <f t="shared" si="40"/>
        <v>105.53733861024439</v>
      </c>
      <c r="S122" s="324">
        <f t="shared" si="40"/>
        <v>21459.962433007095</v>
      </c>
      <c r="T122" s="622">
        <f t="shared" si="40"/>
        <v>22173.008041164612</v>
      </c>
      <c r="AA122" s="608" t="s">
        <v>639</v>
      </c>
      <c r="AB122" s="621">
        <f t="shared" si="38"/>
        <v>0</v>
      </c>
      <c r="AC122" s="621">
        <f t="shared" si="38"/>
        <v>0</v>
      </c>
      <c r="AE122" s="306">
        <f t="shared" si="39"/>
        <v>15196.486375087572</v>
      </c>
      <c r="AF122" s="306">
        <f t="shared" si="39"/>
        <v>15628.535786038854</v>
      </c>
      <c r="AG122" s="306">
        <f>AC117-AF122</f>
        <v>0.28761110304367321</v>
      </c>
    </row>
    <row r="123" spans="1:35" ht="12.7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 s="565"/>
      <c r="AA123" s="608" t="s">
        <v>534</v>
      </c>
      <c r="AB123" s="621">
        <f t="shared" si="38"/>
        <v>0</v>
      </c>
      <c r="AC123" s="621">
        <f t="shared" si="38"/>
        <v>0</v>
      </c>
      <c r="AE123" s="306">
        <f t="shared" si="39"/>
        <v>5239.7857872043915</v>
      </c>
      <c r="AF123" s="306">
        <f t="shared" si="39"/>
        <v>5469.0446701476194</v>
      </c>
      <c r="AG123" s="306">
        <f>AC118-AF123</f>
        <v>0.10064653475637897</v>
      </c>
    </row>
    <row r="124" spans="1:35" ht="12.7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 s="565"/>
      <c r="AA124" s="623" t="s">
        <v>649</v>
      </c>
      <c r="AB124" s="624">
        <f>SUM(AB121:AB123)</f>
        <v>0</v>
      </c>
      <c r="AC124" s="624">
        <f>SUM(AC121:AC123)</f>
        <v>0</v>
      </c>
      <c r="AE124" s="306">
        <v>21464.3</v>
      </c>
      <c r="AF124" s="306">
        <v>22172.6</v>
      </c>
    </row>
    <row r="125" spans="1:35" ht="12.75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 s="565"/>
      <c r="N125" s="570" t="s">
        <v>650</v>
      </c>
      <c r="O125" s="589" t="str">
        <f>B$2</f>
        <v>DEF 2021</v>
      </c>
      <c r="P125" s="310"/>
      <c r="Q125" s="310"/>
      <c r="R125" s="310"/>
      <c r="S125" s="310"/>
      <c r="T125" s="589" t="str">
        <f>G$2</f>
        <v>SD 2021</v>
      </c>
      <c r="U125" s="625"/>
      <c r="AA125" s="305" t="s">
        <v>651</v>
      </c>
    </row>
    <row r="126" spans="1:35" ht="12.75" customHeight="1" x14ac:dyDescent="0.2">
      <c r="A126"/>
      <c r="B126"/>
      <c r="C126"/>
      <c r="D126"/>
      <c r="E126"/>
      <c r="F126"/>
      <c r="G126"/>
      <c r="H126"/>
      <c r="M126" s="565"/>
      <c r="N126" s="304"/>
      <c r="O126" s="570" t="s">
        <v>433</v>
      </c>
      <c r="P126" s="570" t="s">
        <v>434</v>
      </c>
      <c r="Q126" s="571" t="s">
        <v>435</v>
      </c>
      <c r="R126" s="570" t="s">
        <v>436</v>
      </c>
      <c r="S126" s="572" t="s">
        <v>437</v>
      </c>
      <c r="T126" s="619" t="s">
        <v>433</v>
      </c>
      <c r="U126" s="589" t="s">
        <v>614</v>
      </c>
      <c r="V126" s="589" t="s">
        <v>615</v>
      </c>
      <c r="W126" s="589" t="s">
        <v>616</v>
      </c>
      <c r="X126" s="570" t="s">
        <v>605</v>
      </c>
      <c r="AA126" s="620" t="s">
        <v>652</v>
      </c>
      <c r="AB126" s="572" t="s">
        <v>437</v>
      </c>
      <c r="AC126" s="570" t="s">
        <v>433</v>
      </c>
      <c r="AD126"/>
      <c r="AE126" s="572" t="s">
        <v>437</v>
      </c>
      <c r="AF126" s="570" t="s">
        <v>433</v>
      </c>
      <c r="AG126"/>
      <c r="AI126" s="626" t="s">
        <v>653</v>
      </c>
    </row>
    <row r="127" spans="1:35" ht="12.75" customHeight="1" x14ac:dyDescent="0.2">
      <c r="A127"/>
      <c r="B127"/>
      <c r="C127"/>
      <c r="D127"/>
      <c r="E127"/>
      <c r="F127"/>
      <c r="G127"/>
      <c r="H127"/>
      <c r="M127" s="565" t="s">
        <v>654</v>
      </c>
      <c r="N127" s="310" t="s">
        <v>633</v>
      </c>
      <c r="O127" s="324">
        <f t="shared" ref="O127:T127" si="41">B$13</f>
        <v>10386.954459490174</v>
      </c>
      <c r="P127" s="592">
        <f t="shared" si="41"/>
        <v>117.2706903854299</v>
      </c>
      <c r="Q127" s="592">
        <f t="shared" si="41"/>
        <v>104.68727940138361</v>
      </c>
      <c r="R127" s="592">
        <f t="shared" si="41"/>
        <v>112.02</v>
      </c>
      <c r="S127" s="324">
        <f t="shared" si="41"/>
        <v>11635.466385520893</v>
      </c>
      <c r="T127" s="371">
        <f t="shared" si="41"/>
        <v>12180.853204664327</v>
      </c>
      <c r="U127" s="310" t="s">
        <v>634</v>
      </c>
      <c r="V127" s="310">
        <f>Q127*W127/100</f>
        <v>84.95455808564661</v>
      </c>
      <c r="W127" s="546">
        <f>R$20</f>
        <v>81.150793650793645</v>
      </c>
      <c r="X127" s="592">
        <f>R127-W127</f>
        <v>30.869206349206351</v>
      </c>
      <c r="AA127" s="310" t="s">
        <v>635</v>
      </c>
      <c r="AB127" s="324">
        <f>S127+S128</f>
        <v>18299.155514191512</v>
      </c>
      <c r="AC127" s="324">
        <f>T127+T128</f>
        <v>19137.017419646705</v>
      </c>
      <c r="AD127">
        <f>ROUND(AC127/AC$130*AD$130,0)</f>
        <v>0</v>
      </c>
      <c r="AE127" s="306">
        <f t="shared" ref="AE127:AF129" si="42">AB127/AB$130*AE$130</f>
        <v>18302.967665761636</v>
      </c>
      <c r="AF127" s="306">
        <f t="shared" si="42"/>
        <v>19137.860640187795</v>
      </c>
      <c r="AG127"/>
      <c r="AH127" s="306">
        <f>AC127+AD127</f>
        <v>19137.017419646705</v>
      </c>
      <c r="AI127" s="305">
        <v>19138</v>
      </c>
    </row>
    <row r="128" spans="1:35" ht="12.75" customHeight="1" x14ac:dyDescent="0.2">
      <c r="A128"/>
      <c r="B128"/>
      <c r="C128"/>
      <c r="D128"/>
      <c r="E128"/>
      <c r="F128"/>
      <c r="G128"/>
      <c r="H128"/>
      <c r="M128" s="565" t="s">
        <v>655</v>
      </c>
      <c r="N128" s="310" t="s">
        <v>656</v>
      </c>
      <c r="O128" s="324">
        <f t="shared" ref="O128:T128" si="43">B$31</f>
        <v>6064.2986718217044</v>
      </c>
      <c r="P128" s="592">
        <f t="shared" si="43"/>
        <v>114.70682087781732</v>
      </c>
      <c r="Q128" s="592">
        <f t="shared" si="43"/>
        <v>104.38908659549229</v>
      </c>
      <c r="R128" s="592">
        <f t="shared" si="43"/>
        <v>109.88392045454547</v>
      </c>
      <c r="S128" s="324">
        <f t="shared" si="43"/>
        <v>6663.6891286706186</v>
      </c>
      <c r="T128" s="371">
        <f t="shared" si="43"/>
        <v>6956.1642149823774</v>
      </c>
      <c r="U128" s="310" t="s">
        <v>510</v>
      </c>
      <c r="V128" s="547">
        <f>Q$52</f>
        <v>102.53654233021112</v>
      </c>
      <c r="W128" s="310"/>
      <c r="X128" s="592">
        <f>P128-V128</f>
        <v>12.170278547606202</v>
      </c>
      <c r="AA128" s="310" t="s">
        <v>639</v>
      </c>
      <c r="AB128" s="324">
        <f>S129+S130</f>
        <v>29396.954298728291</v>
      </c>
      <c r="AC128" s="324">
        <f>T129+T130</f>
        <v>30284.113806408015</v>
      </c>
      <c r="AD128">
        <f>ROUND(AC128/AC$130*AD$130,0)</f>
        <v>0</v>
      </c>
      <c r="AE128" s="306">
        <f t="shared" si="42"/>
        <v>29403.078387099464</v>
      </c>
      <c r="AF128" s="306">
        <f t="shared" si="42"/>
        <v>30285.448193385371</v>
      </c>
      <c r="AG128"/>
      <c r="AH128" s="306">
        <f>AC128+AD128</f>
        <v>30284.113806408015</v>
      </c>
      <c r="AI128" s="305">
        <v>30286</v>
      </c>
    </row>
    <row r="129" spans="1:35" ht="12.75" customHeight="1" x14ac:dyDescent="0.2">
      <c r="A129"/>
      <c r="B129"/>
      <c r="C129"/>
      <c r="D129"/>
      <c r="E129"/>
      <c r="F129"/>
      <c r="G129"/>
      <c r="H129"/>
      <c r="M129" s="565" t="s">
        <v>657</v>
      </c>
      <c r="N129" s="310" t="s">
        <v>494</v>
      </c>
      <c r="O129" s="324">
        <f t="shared" ref="O129:T129" si="44">B$47</f>
        <v>11563.072861123541</v>
      </c>
      <c r="P129" s="592">
        <f t="shared" si="44"/>
        <v>125.04867841409694</v>
      </c>
      <c r="Q129" s="592">
        <f t="shared" si="44"/>
        <v>103.81791483113072</v>
      </c>
      <c r="R129" s="592">
        <f t="shared" si="44"/>
        <v>120.45</v>
      </c>
      <c r="S129" s="324">
        <f t="shared" si="44"/>
        <v>13927.721261223305</v>
      </c>
      <c r="T129" s="371">
        <f t="shared" si="44"/>
        <v>14459.469796894096</v>
      </c>
      <c r="U129" s="310" t="s">
        <v>641</v>
      </c>
      <c r="V129" s="547">
        <f>R37</f>
        <v>110.75682087781732</v>
      </c>
      <c r="W129" s="310"/>
      <c r="X129" s="592">
        <f>P129-V129</f>
        <v>14.291857536279622</v>
      </c>
      <c r="AA129" s="310" t="s">
        <v>534</v>
      </c>
      <c r="AB129" s="324">
        <f>S131+S132</f>
        <v>6586.6817838560182</v>
      </c>
      <c r="AC129" s="324">
        <f>T131+T132</f>
        <v>6876.3881771139022</v>
      </c>
      <c r="AD129">
        <f>ROUND(AC129/AC$130*AD$130,0)</f>
        <v>0</v>
      </c>
      <c r="AE129" s="306">
        <f t="shared" si="42"/>
        <v>6588.0539471388956</v>
      </c>
      <c r="AF129" s="306">
        <f t="shared" si="42"/>
        <v>6876.6911664268291</v>
      </c>
      <c r="AG129"/>
      <c r="AH129" s="627">
        <f>AC129+AD129</f>
        <v>6876.3881771139022</v>
      </c>
      <c r="AI129" s="628">
        <v>6876</v>
      </c>
    </row>
    <row r="130" spans="1:35" ht="12.75" customHeight="1" x14ac:dyDescent="0.2">
      <c r="A130"/>
      <c r="B130"/>
      <c r="C130"/>
      <c r="D130"/>
      <c r="E130"/>
      <c r="F130"/>
      <c r="G130"/>
      <c r="H130"/>
      <c r="M130" s="565" t="s">
        <v>658</v>
      </c>
      <c r="N130" s="310" t="s">
        <v>659</v>
      </c>
      <c r="O130" s="324">
        <f t="shared" ref="O130:T130" si="45">B$52</f>
        <v>14102.994932939273</v>
      </c>
      <c r="P130" s="592">
        <f t="shared" si="45"/>
        <v>112.20768414624841</v>
      </c>
      <c r="Q130" s="592">
        <f t="shared" si="45"/>
        <v>102.29753453934818</v>
      </c>
      <c r="R130" s="592">
        <f t="shared" si="45"/>
        <v>109.68757424265037</v>
      </c>
      <c r="S130" s="324">
        <f t="shared" si="45"/>
        <v>15469.233037504984</v>
      </c>
      <c r="T130" s="371">
        <f t="shared" si="45"/>
        <v>15824.644009513919</v>
      </c>
      <c r="U130" s="310" t="s">
        <v>510</v>
      </c>
      <c r="V130" s="547">
        <f>Q$52</f>
        <v>102.53654233021112</v>
      </c>
      <c r="W130" s="310"/>
      <c r="X130" s="592">
        <f>P130-V130</f>
        <v>9.6711418160372915</v>
      </c>
      <c r="AA130" s="566" t="s">
        <v>644</v>
      </c>
      <c r="AB130" s="321">
        <f>SUM(AB127:AB129)</f>
        <v>54282.791596775824</v>
      </c>
      <c r="AC130" s="321">
        <f>SUM(AC127:AC129)</f>
        <v>56297.519403168626</v>
      </c>
      <c r="AD130" s="325">
        <f>I99</f>
        <v>0</v>
      </c>
      <c r="AE130" s="306">
        <v>54294.1</v>
      </c>
      <c r="AF130" s="306">
        <v>56300</v>
      </c>
      <c r="AG130"/>
      <c r="AH130" s="306">
        <f>AC130+AD130</f>
        <v>56297.519403168626</v>
      </c>
      <c r="AI130" s="305">
        <f>SUM(AI127:AI129)</f>
        <v>56300</v>
      </c>
    </row>
    <row r="131" spans="1:35" ht="12.75" customHeight="1" thickBot="1" x14ac:dyDescent="0.25">
      <c r="A131"/>
      <c r="B131"/>
      <c r="C131"/>
      <c r="D131"/>
      <c r="E131"/>
      <c r="F131"/>
      <c r="G131"/>
      <c r="H131"/>
      <c r="M131" s="565" t="s">
        <v>660</v>
      </c>
      <c r="N131" s="310" t="s">
        <v>646</v>
      </c>
      <c r="O131" s="324">
        <f t="shared" ref="O131:T131" si="46">B$67</f>
        <v>4423.2190232957482</v>
      </c>
      <c r="P131" s="592">
        <f t="shared" si="46"/>
        <v>118.16401193842289</v>
      </c>
      <c r="Q131" s="592">
        <f t="shared" si="46"/>
        <v>104.39836632108074</v>
      </c>
      <c r="R131" s="592">
        <f t="shared" si="46"/>
        <v>113.18569064098708</v>
      </c>
      <c r="S131" s="324">
        <f t="shared" si="46"/>
        <v>5006.451000080815</v>
      </c>
      <c r="T131" s="371">
        <f t="shared" si="46"/>
        <v>5226.6530547497796</v>
      </c>
      <c r="U131" s="310" t="s">
        <v>575</v>
      </c>
      <c r="V131" s="547">
        <f>P65</f>
        <v>92.615173262159331</v>
      </c>
      <c r="W131" s="310"/>
      <c r="X131" s="592">
        <f>P131-V131</f>
        <v>25.548838676263557</v>
      </c>
      <c r="AA131" s="620" t="s">
        <v>661</v>
      </c>
      <c r="AB131" s="572" t="s">
        <v>437</v>
      </c>
      <c r="AC131" s="570" t="s">
        <v>433</v>
      </c>
    </row>
    <row r="132" spans="1:35" ht="12.75" customHeight="1" x14ac:dyDescent="0.2">
      <c r="A132"/>
      <c r="B132"/>
      <c r="C132"/>
      <c r="D132"/>
      <c r="E132"/>
      <c r="F132"/>
      <c r="G132"/>
      <c r="H132"/>
      <c r="M132" s="565" t="s">
        <v>662</v>
      </c>
      <c r="N132" s="310" t="s">
        <v>648</v>
      </c>
      <c r="O132" s="324">
        <f t="shared" ref="O132:T132" si="47">B$75</f>
        <v>1404.4600513295497</v>
      </c>
      <c r="P132" s="592">
        <f t="shared" si="47"/>
        <v>117.46401193842289</v>
      </c>
      <c r="Q132" s="592">
        <f t="shared" si="47"/>
        <v>104.39836632108074</v>
      </c>
      <c r="R132" s="592">
        <f t="shared" si="47"/>
        <v>112.51518206439964</v>
      </c>
      <c r="S132" s="324">
        <f t="shared" si="47"/>
        <v>1580.2307837752035</v>
      </c>
      <c r="T132" s="371">
        <f t="shared" si="47"/>
        <v>1649.7351223641224</v>
      </c>
      <c r="U132" s="310" t="s">
        <v>575</v>
      </c>
      <c r="V132" s="547">
        <f>P65</f>
        <v>92.615173262159331</v>
      </c>
      <c r="W132" s="310"/>
      <c r="X132" s="592">
        <f>P132-V132</f>
        <v>24.848838676263554</v>
      </c>
      <c r="AA132" s="608" t="s">
        <v>635</v>
      </c>
      <c r="AB132" s="629">
        <f t="shared" ref="AB132:AC134" si="48">AB127/AB$130*AA$109</f>
        <v>0</v>
      </c>
      <c r="AC132" s="630">
        <f>AC127/AC$130*AB$109</f>
        <v>0</v>
      </c>
      <c r="AD132" s="631"/>
      <c r="AE132" s="632" t="e">
        <f>AB132/AC132*AF132</f>
        <v>#DIV/0!</v>
      </c>
      <c r="AF132" s="633">
        <f>AC132-60</f>
        <v>-60</v>
      </c>
      <c r="AG132" s="306"/>
    </row>
    <row r="133" spans="1:35" ht="12.75" customHeight="1" thickBot="1" x14ac:dyDescent="0.25">
      <c r="A133"/>
      <c r="B133"/>
      <c r="C133"/>
      <c r="D133"/>
      <c r="E133"/>
      <c r="F133"/>
      <c r="G133"/>
      <c r="H133"/>
      <c r="M133" s="565"/>
      <c r="N133" s="566" t="s">
        <v>650</v>
      </c>
      <c r="O133" s="324">
        <f t="shared" ref="O133:T133" si="49">B$99</f>
        <v>47944.999999999993</v>
      </c>
      <c r="P133" s="592">
        <f t="shared" si="49"/>
        <v>117.42104370251045</v>
      </c>
      <c r="Q133" s="592">
        <f t="shared" si="49"/>
        <v>103.71154052164199</v>
      </c>
      <c r="R133" s="592">
        <f t="shared" si="49"/>
        <v>113.21887912561439</v>
      </c>
      <c r="S133" s="324">
        <f t="shared" si="49"/>
        <v>54282.791596775816</v>
      </c>
      <c r="T133" s="324">
        <f t="shared" si="49"/>
        <v>56297.519403168626</v>
      </c>
      <c r="AA133" s="608" t="s">
        <v>639</v>
      </c>
      <c r="AB133" s="629">
        <f t="shared" si="48"/>
        <v>0</v>
      </c>
      <c r="AC133" s="630">
        <f t="shared" si="48"/>
        <v>0</v>
      </c>
      <c r="AD133" s="634"/>
      <c r="AE133" s="635" t="e">
        <f>AB133/AC133*AF133</f>
        <v>#DIV/0!</v>
      </c>
      <c r="AF133" s="636">
        <f>AC133+AD132</f>
        <v>0</v>
      </c>
    </row>
    <row r="134" spans="1:35" ht="12.75" customHeight="1" x14ac:dyDescent="0.2">
      <c r="A134"/>
      <c r="B134"/>
      <c r="C134"/>
      <c r="D134"/>
      <c r="E134"/>
      <c r="F134"/>
      <c r="G134"/>
      <c r="H134"/>
      <c r="M134" s="565"/>
      <c r="N134" s="566" t="s">
        <v>663</v>
      </c>
      <c r="O134" s="324">
        <f>O133-O135</f>
        <v>40519.999999999993</v>
      </c>
      <c r="P134" s="637">
        <f>T134/O134*100</f>
        <v>115.63973199202525</v>
      </c>
      <c r="Q134" s="547">
        <f>T134/S134*100</f>
        <v>103.71154052164198</v>
      </c>
      <c r="R134" s="547">
        <f>P134/Q134*100</f>
        <v>111.50131548561286</v>
      </c>
      <c r="S134" s="324">
        <f>S133-S135</f>
        <v>45180.333034770323</v>
      </c>
      <c r="T134" s="638">
        <f>T133-T135</f>
        <v>46857.219403168623</v>
      </c>
      <c r="U134" s="306">
        <f>T134+445</f>
        <v>47302.219403168623</v>
      </c>
      <c r="V134" s="639">
        <v>42190</v>
      </c>
      <c r="W134" s="640">
        <v>41984</v>
      </c>
      <c r="X134" s="640">
        <f>V134-W134</f>
        <v>206</v>
      </c>
      <c r="Y134" s="641">
        <f>X134/V134*100</f>
        <v>0.48826736193410764</v>
      </c>
      <c r="AA134" s="608" t="s">
        <v>534</v>
      </c>
      <c r="AB134" s="629">
        <f t="shared" si="48"/>
        <v>0</v>
      </c>
      <c r="AC134" s="629">
        <f t="shared" si="48"/>
        <v>0</v>
      </c>
      <c r="AD134" s="306"/>
      <c r="AE134" s="306">
        <f>AB134</f>
        <v>0</v>
      </c>
      <c r="AF134" s="306">
        <f>AC134</f>
        <v>0</v>
      </c>
    </row>
    <row r="135" spans="1:35" ht="12.75" customHeight="1" x14ac:dyDescent="0.2">
      <c r="A135"/>
      <c r="B135"/>
      <c r="C135"/>
      <c r="D135"/>
      <c r="E135"/>
      <c r="F135"/>
      <c r="G135"/>
      <c r="H135"/>
      <c r="M135" s="565"/>
      <c r="N135" s="566" t="s">
        <v>664</v>
      </c>
      <c r="O135" s="642">
        <v>7425</v>
      </c>
      <c r="P135" s="547">
        <f>T135/O135*100</f>
        <v>127.14208754208754</v>
      </c>
      <c r="Q135" s="547">
        <f>D$99</f>
        <v>103.71154052164199</v>
      </c>
      <c r="R135" s="547">
        <f>P135/Q135*100</f>
        <v>122.5920345051245</v>
      </c>
      <c r="S135" s="643">
        <f>T135/Q135*100</f>
        <v>9102.458562005495</v>
      </c>
      <c r="T135" s="644">
        <f>(9440.3)</f>
        <v>9440.2999999999993</v>
      </c>
      <c r="U135" s="613" t="s">
        <v>665</v>
      </c>
      <c r="V135" s="645">
        <v>64570</v>
      </c>
      <c r="W135" s="646">
        <v>64313</v>
      </c>
      <c r="X135" s="646">
        <f>V135-W135</f>
        <v>257</v>
      </c>
      <c r="Y135" s="647">
        <f>X135/V135*100</f>
        <v>0.3980176552578597</v>
      </c>
      <c r="AA135" s="623" t="s">
        <v>649</v>
      </c>
      <c r="AB135" s="624">
        <f>SUM(AB132:AB134)</f>
        <v>0</v>
      </c>
      <c r="AC135" s="624">
        <f>SUM(AC132:AC134)</f>
        <v>0</v>
      </c>
      <c r="AE135" s="624" t="e">
        <f>SUM(AE132:AE134)</f>
        <v>#DIV/0!</v>
      </c>
      <c r="AF135" s="624">
        <f>SUM(AF132:AF134)</f>
        <v>-60</v>
      </c>
    </row>
    <row r="136" spans="1:35" ht="12.75" customHeight="1" x14ac:dyDescent="0.2">
      <c r="A136"/>
      <c r="B136"/>
      <c r="C136"/>
      <c r="D136"/>
      <c r="E136"/>
      <c r="F136"/>
      <c r="G136"/>
      <c r="H136"/>
      <c r="M136" s="565"/>
      <c r="R136" s="305" t="s">
        <v>666</v>
      </c>
      <c r="S136" s="306">
        <v>46860</v>
      </c>
      <c r="T136" s="648">
        <f>S136-T134</f>
        <v>2.7805968313768972</v>
      </c>
      <c r="U136" s="306">
        <f>S136+T135</f>
        <v>56300.3</v>
      </c>
      <c r="AA136" s="613"/>
      <c r="AD136" s="306"/>
      <c r="AE136" s="306"/>
    </row>
    <row r="137" spans="1:35" ht="12.75" customHeight="1" x14ac:dyDescent="0.2">
      <c r="A137"/>
      <c r="B137"/>
      <c r="C137"/>
      <c r="D137"/>
      <c r="E137"/>
      <c r="F137"/>
      <c r="G137"/>
      <c r="H137"/>
      <c r="M137" s="565"/>
      <c r="N137" s="570" t="s">
        <v>667</v>
      </c>
      <c r="O137" s="589" t="str">
        <f>B$2</f>
        <v>DEF 2021</v>
      </c>
      <c r="P137" s="310"/>
      <c r="Q137" s="310"/>
      <c r="R137" s="310"/>
      <c r="S137" s="310"/>
      <c r="T137" s="589" t="str">
        <f>G$2</f>
        <v>SD 2021</v>
      </c>
    </row>
    <row r="138" spans="1:35" ht="12.75" customHeight="1" x14ac:dyDescent="0.2">
      <c r="A138"/>
      <c r="B138"/>
      <c r="C138"/>
      <c r="D138"/>
      <c r="E138"/>
      <c r="F138"/>
      <c r="G138"/>
      <c r="H138"/>
      <c r="M138" s="565"/>
      <c r="N138" s="310"/>
      <c r="O138" s="570" t="s">
        <v>433</v>
      </c>
      <c r="P138" s="570" t="s">
        <v>434</v>
      </c>
      <c r="Q138" s="571" t="s">
        <v>435</v>
      </c>
      <c r="R138" s="570" t="s">
        <v>436</v>
      </c>
      <c r="S138" s="572" t="s">
        <v>437</v>
      </c>
      <c r="T138" s="570" t="s">
        <v>433</v>
      </c>
      <c r="U138" s="602" t="s">
        <v>614</v>
      </c>
      <c r="V138" s="649" t="s">
        <v>615</v>
      </c>
      <c r="W138" s="649" t="s">
        <v>616</v>
      </c>
      <c r="X138" s="650" t="s">
        <v>605</v>
      </c>
      <c r="AA138" s="620" t="s">
        <v>668</v>
      </c>
      <c r="AB138" s="572" t="s">
        <v>437</v>
      </c>
      <c r="AC138" s="570" t="s">
        <v>433</v>
      </c>
      <c r="AE138" s="572" t="s">
        <v>437</v>
      </c>
      <c r="AF138" s="570" t="s">
        <v>433</v>
      </c>
    </row>
    <row r="139" spans="1:35" ht="12.75" customHeight="1" x14ac:dyDescent="0.2">
      <c r="A139"/>
      <c r="B139"/>
      <c r="C139"/>
      <c r="D139"/>
      <c r="E139"/>
      <c r="F139"/>
      <c r="G139"/>
      <c r="H139"/>
      <c r="M139" s="565" t="s">
        <v>669</v>
      </c>
      <c r="N139" s="310" t="s">
        <v>670</v>
      </c>
      <c r="O139" s="324">
        <f t="shared" ref="O139:T139" si="50">B$10</f>
        <v>16158.376225049698</v>
      </c>
      <c r="P139" s="592">
        <f t="shared" si="50"/>
        <v>119.5633418043202</v>
      </c>
      <c r="Q139" s="592">
        <f t="shared" si="50"/>
        <v>104.68727940138361</v>
      </c>
      <c r="R139" s="592">
        <f t="shared" si="50"/>
        <v>114.21</v>
      </c>
      <c r="S139" s="324">
        <f t="shared" si="50"/>
        <v>18454.481486629258</v>
      </c>
      <c r="T139" s="371">
        <f t="shared" si="50"/>
        <v>19319.494595984183</v>
      </c>
      <c r="U139" s="310" t="s">
        <v>671</v>
      </c>
      <c r="V139" s="310">
        <f>Q139*W139/100</f>
        <v>83.065012729141429</v>
      </c>
      <c r="W139" s="546">
        <f>Q$20</f>
        <v>79.345850999394301</v>
      </c>
      <c r="X139" s="592">
        <f>R139-W139</f>
        <v>34.864149000605693</v>
      </c>
      <c r="Y139" s="305" t="s">
        <v>672</v>
      </c>
      <c r="AA139" s="310" t="s">
        <v>635</v>
      </c>
      <c r="AB139" s="324">
        <f>S139+S140+S141+S142-S145</f>
        <v>69558.035202257597</v>
      </c>
      <c r="AC139" s="324">
        <f>T139+T140+T141+T142-T145</f>
        <v>72679.836489552457</v>
      </c>
      <c r="AD139" s="651"/>
      <c r="AE139" s="306">
        <f>AB139/AB141*AE141-1</f>
        <v>69546.566970593136</v>
      </c>
      <c r="AF139" s="306">
        <f>AC139/AC141*AF141</f>
        <v>72678.745258898402</v>
      </c>
      <c r="AG139"/>
    </row>
    <row r="140" spans="1:35" ht="12.75" customHeight="1" x14ac:dyDescent="0.2">
      <c r="A140"/>
      <c r="B140"/>
      <c r="C140"/>
      <c r="D140"/>
      <c r="E140"/>
      <c r="F140"/>
      <c r="G140"/>
      <c r="H140"/>
      <c r="M140" s="565" t="s">
        <v>673</v>
      </c>
      <c r="N140" s="310" t="s">
        <v>633</v>
      </c>
      <c r="O140" s="324">
        <f t="shared" ref="O140:T140" si="51">B$12</f>
        <v>3314.6237749503025</v>
      </c>
      <c r="P140" s="592">
        <f t="shared" si="51"/>
        <v>112.87382465057181</v>
      </c>
      <c r="Q140" s="592">
        <f t="shared" si="51"/>
        <v>104.68727940138361</v>
      </c>
      <c r="R140" s="592">
        <f t="shared" si="51"/>
        <v>107.82000000000001</v>
      </c>
      <c r="S140" s="324">
        <f t="shared" si="51"/>
        <v>3573.8273541514163</v>
      </c>
      <c r="T140" s="371">
        <f t="shared" si="51"/>
        <v>3741.3426275635684</v>
      </c>
      <c r="U140" s="310" t="s">
        <v>671</v>
      </c>
      <c r="V140" s="310">
        <f>Q140*W140/100</f>
        <v>84.95455808564661</v>
      </c>
      <c r="W140" s="546">
        <f>R$20</f>
        <v>81.150793650793645</v>
      </c>
      <c r="X140" s="592">
        <f>R140-W140</f>
        <v>26.669206349206362</v>
      </c>
      <c r="AA140" s="310" t="s">
        <v>534</v>
      </c>
      <c r="AB140" s="324">
        <f>S143+S144</f>
        <v>1725.3926947408224</v>
      </c>
      <c r="AC140" s="324">
        <f>T143+T144</f>
        <v>1801.2817859326904</v>
      </c>
      <c r="AD140" s="651"/>
      <c r="AE140" s="306">
        <f>AE141-AE139</f>
        <v>1726.1330294068612</v>
      </c>
      <c r="AF140" s="306">
        <f>AF141-AF139</f>
        <v>1801.2547411015985</v>
      </c>
      <c r="AG140"/>
    </row>
    <row r="141" spans="1:35" ht="12.75" customHeight="1" x14ac:dyDescent="0.2">
      <c r="A141"/>
      <c r="B141"/>
      <c r="C141"/>
      <c r="D141"/>
      <c r="E141"/>
      <c r="F141"/>
      <c r="G141"/>
      <c r="H141"/>
      <c r="M141" s="565" t="s">
        <v>674</v>
      </c>
      <c r="N141" s="310" t="s">
        <v>675</v>
      </c>
      <c r="O141" s="324">
        <f t="shared" ref="O141:T141" si="52">B$24</f>
        <v>34813.270264493105</v>
      </c>
      <c r="P141" s="592">
        <f t="shared" si="52"/>
        <v>117.04053975491173</v>
      </c>
      <c r="Q141" s="592">
        <f t="shared" si="52"/>
        <v>104.38908659549229</v>
      </c>
      <c r="R141" s="592">
        <f t="shared" si="52"/>
        <v>112.11951706067111</v>
      </c>
      <c r="S141" s="324">
        <f t="shared" si="52"/>
        <v>39032.470493575893</v>
      </c>
      <c r="T141" s="371">
        <f t="shared" si="52"/>
        <v>40745.639423898916</v>
      </c>
      <c r="U141" s="310" t="s">
        <v>510</v>
      </c>
      <c r="V141" s="547">
        <f>Q$52</f>
        <v>102.53654233021112</v>
      </c>
      <c r="W141" s="310"/>
      <c r="X141" s="592">
        <f>P141-V141</f>
        <v>14.503997424700614</v>
      </c>
      <c r="Y141" s="305" t="s">
        <v>676</v>
      </c>
      <c r="AA141" s="566" t="s">
        <v>644</v>
      </c>
      <c r="AB141" s="321">
        <f>SUM(AB139:AB140)</f>
        <v>71283.427896998415</v>
      </c>
      <c r="AC141" s="321">
        <f>SUM(AC139:AC140)</f>
        <v>74481.118275485147</v>
      </c>
      <c r="AE141" s="306">
        <v>71272.7</v>
      </c>
      <c r="AF141" s="306">
        <v>74480</v>
      </c>
    </row>
    <row r="142" spans="1:35" ht="12.75" customHeight="1" x14ac:dyDescent="0.2">
      <c r="A142"/>
      <c r="B142"/>
      <c r="C142"/>
      <c r="D142"/>
      <c r="E142"/>
      <c r="F142"/>
      <c r="G142"/>
      <c r="H142"/>
      <c r="M142" s="565" t="s">
        <v>677</v>
      </c>
      <c r="N142" s="310" t="s">
        <v>678</v>
      </c>
      <c r="O142" s="324">
        <f t="shared" ref="O142:T142" si="53">B$28</f>
        <v>6635.9569584775854</v>
      </c>
      <c r="P142" s="592">
        <f t="shared" si="53"/>
        <v>117.04053975491173</v>
      </c>
      <c r="Q142" s="592">
        <f t="shared" si="53"/>
        <v>104.38908659549229</v>
      </c>
      <c r="R142" s="592">
        <f t="shared" si="53"/>
        <v>112.11951706067116</v>
      </c>
      <c r="S142" s="324">
        <f t="shared" si="53"/>
        <v>7440.2028941990711</v>
      </c>
      <c r="T142" s="371">
        <f t="shared" si="53"/>
        <v>7766.7598421057919</v>
      </c>
      <c r="U142" s="310" t="s">
        <v>510</v>
      </c>
      <c r="V142" s="547">
        <f>Q$52</f>
        <v>102.53654233021112</v>
      </c>
      <c r="W142" s="310"/>
      <c r="X142" s="592">
        <f>P142-V142</f>
        <v>14.503997424700614</v>
      </c>
      <c r="AA142" s="620" t="s">
        <v>679</v>
      </c>
      <c r="AB142" s="572" t="s">
        <v>437</v>
      </c>
      <c r="AC142" s="570" t="s">
        <v>433</v>
      </c>
      <c r="AE142" s="306"/>
    </row>
    <row r="143" spans="1:35" ht="12.75" customHeight="1" x14ac:dyDescent="0.2">
      <c r="A143"/>
      <c r="B143"/>
      <c r="C143"/>
      <c r="D143"/>
      <c r="E143"/>
      <c r="F143"/>
      <c r="G143"/>
      <c r="H143"/>
      <c r="M143" s="565" t="s">
        <v>680</v>
      </c>
      <c r="N143" s="310" t="s">
        <v>646</v>
      </c>
      <c r="O143" s="324">
        <f t="shared" ref="O143:T143" si="54">B$66</f>
        <v>1158.280405170012</v>
      </c>
      <c r="P143" s="547">
        <f t="shared" si="54"/>
        <v>115.01401193842288</v>
      </c>
      <c r="Q143" s="547">
        <f t="shared" si="54"/>
        <v>104.39836632108074</v>
      </c>
      <c r="R143" s="547">
        <f t="shared" si="54"/>
        <v>110.16840204634366</v>
      </c>
      <c r="S143" s="324">
        <f t="shared" si="54"/>
        <v>1276.0590135917171</v>
      </c>
      <c r="T143" s="371">
        <f t="shared" si="54"/>
        <v>1332.1847634826504</v>
      </c>
      <c r="U143" s="310" t="s">
        <v>575</v>
      </c>
      <c r="V143" s="547">
        <f>P$65</f>
        <v>92.615173262159331</v>
      </c>
      <c r="W143" s="310"/>
      <c r="X143" s="592">
        <f>P143-V143</f>
        <v>22.398838676263551</v>
      </c>
      <c r="AA143" s="608" t="s">
        <v>635</v>
      </c>
      <c r="AB143" s="652">
        <f>AB139/AB$141*AA$108</f>
        <v>0</v>
      </c>
      <c r="AC143" s="652">
        <f>AC139/AC$141*AB$108</f>
        <v>0</v>
      </c>
      <c r="AE143" s="306"/>
    </row>
    <row r="144" spans="1:35" ht="12.75" customHeight="1" x14ac:dyDescent="0.2">
      <c r="A144"/>
      <c r="B144"/>
      <c r="C144"/>
      <c r="D144"/>
      <c r="E144"/>
      <c r="F144"/>
      <c r="G144"/>
      <c r="H144"/>
      <c r="M144" s="565" t="s">
        <v>681</v>
      </c>
      <c r="N144" s="310" t="s">
        <v>648</v>
      </c>
      <c r="O144" s="324">
        <f t="shared" ref="O144:T144" si="55">B$72</f>
        <v>408.74923639105259</v>
      </c>
      <c r="P144" s="547">
        <f t="shared" si="55"/>
        <v>114.76401193842288</v>
      </c>
      <c r="Q144" s="547">
        <f t="shared" si="55"/>
        <v>104.39836632108074</v>
      </c>
      <c r="R144" s="547">
        <f t="shared" si="55"/>
        <v>109.92893469756247</v>
      </c>
      <c r="S144" s="324">
        <f t="shared" si="55"/>
        <v>449.33368114910542</v>
      </c>
      <c r="T144" s="371">
        <f t="shared" si="55"/>
        <v>469.09702245003996</v>
      </c>
      <c r="U144" s="310" t="s">
        <v>575</v>
      </c>
      <c r="V144" s="547">
        <f>P$65</f>
        <v>92.615173262159331</v>
      </c>
      <c r="W144" s="310"/>
      <c r="X144" s="592">
        <f>P144-V144</f>
        <v>22.148838676263551</v>
      </c>
      <c r="AA144" s="608" t="s">
        <v>534</v>
      </c>
      <c r="AB144" s="652">
        <f>AB140/AB$141*AA$108</f>
        <v>0</v>
      </c>
      <c r="AC144" s="652">
        <f>AC140/AC$141*AB$108</f>
        <v>0</v>
      </c>
      <c r="AE144" s="306"/>
    </row>
    <row r="145" spans="1:31" ht="12.75" customHeight="1" x14ac:dyDescent="0.2">
      <c r="A145"/>
      <c r="B145"/>
      <c r="C145"/>
      <c r="D145"/>
      <c r="E145"/>
      <c r="F145"/>
      <c r="G145"/>
      <c r="H145"/>
      <c r="M145" s="565"/>
      <c r="N145" s="310" t="s">
        <v>682</v>
      </c>
      <c r="O145" s="310">
        <f t="shared" ref="O145:T145" si="56">B$113</f>
        <v>426.9</v>
      </c>
      <c r="P145" s="547">
        <f t="shared" si="56"/>
        <v>-259.21761536659636</v>
      </c>
      <c r="Q145" s="547">
        <f t="shared" si="56"/>
        <v>104.68727940138361</v>
      </c>
      <c r="R145" s="547">
        <f t="shared" si="56"/>
        <v>-247.61137823892142</v>
      </c>
      <c r="S145" s="643">
        <f t="shared" si="56"/>
        <v>-1057.0529737019554</v>
      </c>
      <c r="T145" s="310">
        <f t="shared" si="56"/>
        <v>-1106.5999999999999</v>
      </c>
      <c r="W145" s="653"/>
      <c r="AA145" s="623" t="s">
        <v>649</v>
      </c>
      <c r="AB145" s="624">
        <f>SUM(AB143:AB144)</f>
        <v>0</v>
      </c>
      <c r="AC145" s="624">
        <f>SUM(AC143:AC144)</f>
        <v>0</v>
      </c>
      <c r="AE145" s="306"/>
    </row>
    <row r="146" spans="1:31" ht="12.75" customHeight="1" x14ac:dyDescent="0.2">
      <c r="A146"/>
      <c r="B146"/>
      <c r="C146"/>
      <c r="D146"/>
      <c r="E146"/>
      <c r="F146"/>
      <c r="G146"/>
      <c r="H146"/>
      <c r="M146" s="565"/>
      <c r="N146" s="566" t="s">
        <v>667</v>
      </c>
      <c r="O146" s="321">
        <f t="shared" ref="O146:T146" si="57">B$98</f>
        <v>62062.291517380923</v>
      </c>
      <c r="P146" s="596">
        <f t="shared" si="57"/>
        <v>120.01026139137363</v>
      </c>
      <c r="Q146" s="596">
        <f t="shared" si="57"/>
        <v>104.48588188422596</v>
      </c>
      <c r="R146" s="596">
        <f t="shared" si="57"/>
        <v>114.85787287927494</v>
      </c>
      <c r="S146" s="321">
        <f t="shared" si="57"/>
        <v>71283.427896998415</v>
      </c>
      <c r="T146" s="654">
        <f t="shared" si="57"/>
        <v>74481.118275485147</v>
      </c>
      <c r="AA146" s="613" t="s">
        <v>625</v>
      </c>
      <c r="AE146" s="306"/>
    </row>
    <row r="147" spans="1:31" ht="14.65" customHeight="1" x14ac:dyDescent="0.2">
      <c r="A147"/>
      <c r="B147"/>
      <c r="C147"/>
      <c r="D147"/>
      <c r="E147"/>
      <c r="F147"/>
      <c r="G147"/>
      <c r="H147"/>
      <c r="M147" s="655"/>
      <c r="N147" s="656"/>
      <c r="Y147" s="305">
        <v>57085</v>
      </c>
      <c r="Z147" s="305">
        <f>57479+207</f>
        <v>57686</v>
      </c>
      <c r="AC147" s="305">
        <f>58100/57200</f>
        <v>1.0157342657342658</v>
      </c>
      <c r="AE147" s="306"/>
    </row>
    <row r="148" spans="1:31" ht="12.75" customHeight="1" x14ac:dyDescent="0.2">
      <c r="A148"/>
      <c r="B148"/>
      <c r="C148"/>
      <c r="D148"/>
      <c r="E148"/>
      <c r="F148"/>
      <c r="G148"/>
      <c r="H148"/>
      <c r="M148" s="655"/>
      <c r="N148" s="656"/>
      <c r="Y148" s="305">
        <f>Y147-S145</f>
        <v>58142.052973701953</v>
      </c>
    </row>
    <row r="149" spans="1:31" ht="20.25" customHeight="1" x14ac:dyDescent="0.2">
      <c r="A149"/>
      <c r="B149"/>
      <c r="C149"/>
      <c r="D149"/>
      <c r="E149"/>
      <c r="F149"/>
      <c r="G149"/>
      <c r="H149"/>
      <c r="M149" s="565"/>
      <c r="N149" s="657" t="s">
        <v>683</v>
      </c>
      <c r="O149" s="589" t="str">
        <f>B$2</f>
        <v>DEF 2021</v>
      </c>
      <c r="P149" s="658"/>
      <c r="Q149" s="658"/>
      <c r="R149" s="658"/>
      <c r="S149" s="658"/>
      <c r="T149" s="589" t="str">
        <f>G$2</f>
        <v>SD 2021</v>
      </c>
    </row>
    <row r="150" spans="1:31" ht="12.75" customHeight="1" x14ac:dyDescent="0.2">
      <c r="A150"/>
      <c r="B150"/>
      <c r="C150"/>
      <c r="D150"/>
      <c r="E150"/>
      <c r="F150"/>
      <c r="G150"/>
      <c r="H150"/>
      <c r="M150" s="565"/>
      <c r="N150" s="310"/>
      <c r="O150" s="589" t="s">
        <v>433</v>
      </c>
      <c r="P150" s="589" t="s">
        <v>434</v>
      </c>
      <c r="Q150" s="659" t="s">
        <v>435</v>
      </c>
      <c r="R150" s="589" t="s">
        <v>436</v>
      </c>
      <c r="S150" s="660" t="s">
        <v>437</v>
      </c>
      <c r="T150" s="589" t="s">
        <v>433</v>
      </c>
      <c r="U150" s="661" t="s">
        <v>614</v>
      </c>
      <c r="V150" s="603" t="s">
        <v>615</v>
      </c>
      <c r="W150" s="603" t="s">
        <v>616</v>
      </c>
      <c r="X150" s="603" t="s">
        <v>605</v>
      </c>
    </row>
    <row r="151" spans="1:31" ht="12.75" customHeight="1" x14ac:dyDescent="0.2">
      <c r="A151"/>
      <c r="B151"/>
      <c r="C151"/>
      <c r="D151"/>
      <c r="E151"/>
      <c r="F151"/>
      <c r="G151"/>
      <c r="H151"/>
      <c r="M151" s="565" t="s">
        <v>669</v>
      </c>
      <c r="N151" s="310" t="s">
        <v>670</v>
      </c>
      <c r="O151" s="324">
        <f t="shared" ref="O151:T151" si="58">B$10</f>
        <v>16158.376225049698</v>
      </c>
      <c r="P151" s="592">
        <f t="shared" si="58"/>
        <v>119.5633418043202</v>
      </c>
      <c r="Q151" s="592">
        <f t="shared" si="58"/>
        <v>104.68727940138361</v>
      </c>
      <c r="R151" s="592">
        <f t="shared" si="58"/>
        <v>114.21</v>
      </c>
      <c r="S151" s="324">
        <f t="shared" si="58"/>
        <v>18454.481486629258</v>
      </c>
      <c r="T151" s="324">
        <f t="shared" si="58"/>
        <v>19319.494595984183</v>
      </c>
      <c r="U151" s="662" t="s">
        <v>684</v>
      </c>
      <c r="V151" s="608">
        <f>Q151*W151/100</f>
        <v>81.551390653677842</v>
      </c>
      <c r="W151" s="663">
        <f>Q$21</f>
        <v>77.900000000000006</v>
      </c>
      <c r="X151" s="610">
        <f>R151-W151</f>
        <v>36.309999999999988</v>
      </c>
    </row>
    <row r="152" spans="1:31" ht="12.75" customHeight="1" x14ac:dyDescent="0.2">
      <c r="A152"/>
      <c r="B152"/>
      <c r="C152"/>
      <c r="D152"/>
      <c r="E152"/>
      <c r="F152"/>
      <c r="G152"/>
      <c r="H152"/>
      <c r="M152" s="565" t="s">
        <v>673</v>
      </c>
      <c r="N152" s="310" t="s">
        <v>633</v>
      </c>
      <c r="O152" s="324">
        <f t="shared" ref="O152:T152" si="59">B$12</f>
        <v>3314.6237749503025</v>
      </c>
      <c r="P152" s="592">
        <f t="shared" si="59"/>
        <v>112.87382465057181</v>
      </c>
      <c r="Q152" s="592">
        <f t="shared" si="59"/>
        <v>104.68727940138361</v>
      </c>
      <c r="R152" s="592">
        <f t="shared" si="59"/>
        <v>107.82000000000001</v>
      </c>
      <c r="S152" s="324">
        <f t="shared" si="59"/>
        <v>3573.8273541514163</v>
      </c>
      <c r="T152" s="324">
        <f t="shared" si="59"/>
        <v>3741.3426275635684</v>
      </c>
      <c r="U152" s="662" t="s">
        <v>684</v>
      </c>
      <c r="V152" s="608">
        <f>Q152*W152/100</f>
        <v>82.074827050684746</v>
      </c>
      <c r="W152" s="663">
        <f>R$21</f>
        <v>78.400000000000006</v>
      </c>
      <c r="X152" s="610">
        <f>R152-W152</f>
        <v>29.42</v>
      </c>
    </row>
    <row r="153" spans="1:31" ht="12.75" customHeight="1" x14ac:dyDescent="0.2">
      <c r="A153"/>
      <c r="B153"/>
      <c r="C153"/>
      <c r="D153"/>
      <c r="E153"/>
      <c r="F153"/>
      <c r="G153"/>
      <c r="H153"/>
      <c r="M153" s="565" t="s">
        <v>674</v>
      </c>
      <c r="N153" s="310" t="s">
        <v>675</v>
      </c>
      <c r="O153" s="324">
        <f t="shared" ref="O153:T153" si="60">B$24</f>
        <v>34813.270264493105</v>
      </c>
      <c r="P153" s="592">
        <f t="shared" si="60"/>
        <v>117.04053975491173</v>
      </c>
      <c r="Q153" s="592">
        <f t="shared" si="60"/>
        <v>104.38908659549229</v>
      </c>
      <c r="R153" s="592">
        <f t="shared" si="60"/>
        <v>112.11951706067111</v>
      </c>
      <c r="S153" s="324">
        <f t="shared" si="60"/>
        <v>39032.470493575893</v>
      </c>
      <c r="T153" s="324">
        <f t="shared" si="60"/>
        <v>40745.639423898916</v>
      </c>
      <c r="U153" s="662" t="s">
        <v>510</v>
      </c>
      <c r="V153" s="609">
        <f>Q$51</f>
        <v>0</v>
      </c>
      <c r="W153" s="608"/>
      <c r="X153" s="610">
        <f>P153-V153</f>
        <v>117.04053975491173</v>
      </c>
      <c r="Y153"/>
      <c r="Z153"/>
      <c r="AA153"/>
      <c r="AB153"/>
    </row>
    <row r="154" spans="1:31" ht="12.75" customHeight="1" x14ac:dyDescent="0.2">
      <c r="A154"/>
      <c r="B154"/>
      <c r="C154"/>
      <c r="D154"/>
      <c r="E154"/>
      <c r="F154"/>
      <c r="G154"/>
      <c r="H154"/>
      <c r="M154" s="565" t="s">
        <v>677</v>
      </c>
      <c r="N154" s="310" t="s">
        <v>678</v>
      </c>
      <c r="O154" s="324">
        <f t="shared" ref="O154:T154" si="61">B$28</f>
        <v>6635.9569584775854</v>
      </c>
      <c r="P154" s="592">
        <f t="shared" si="61"/>
        <v>117.04053975491173</v>
      </c>
      <c r="Q154" s="592">
        <f t="shared" si="61"/>
        <v>104.38908659549229</v>
      </c>
      <c r="R154" s="592">
        <f t="shared" si="61"/>
        <v>112.11951706067116</v>
      </c>
      <c r="S154" s="324">
        <f t="shared" si="61"/>
        <v>7440.2028941990711</v>
      </c>
      <c r="T154" s="324">
        <f t="shared" si="61"/>
        <v>7766.7598421057919</v>
      </c>
      <c r="U154" s="662" t="s">
        <v>510</v>
      </c>
      <c r="V154" s="609">
        <f>Q$51</f>
        <v>0</v>
      </c>
      <c r="W154" s="608"/>
      <c r="X154" s="610">
        <f>P154-V154</f>
        <v>117.04053975491173</v>
      </c>
      <c r="Y154"/>
      <c r="Z154"/>
      <c r="AA154"/>
      <c r="AB154"/>
    </row>
    <row r="155" spans="1:31" ht="12.75" customHeight="1" x14ac:dyDescent="0.2">
      <c r="A155"/>
      <c r="B155"/>
      <c r="C155"/>
      <c r="D155"/>
      <c r="E155"/>
      <c r="F155"/>
      <c r="G155"/>
      <c r="H155"/>
      <c r="M155" s="565"/>
      <c r="N155" s="566" t="s">
        <v>685</v>
      </c>
      <c r="O155" s="324">
        <f>SUM(O151:O152)</f>
        <v>19473</v>
      </c>
      <c r="P155" s="664">
        <f>T155/O155*100</f>
        <v>118.42467633927876</v>
      </c>
      <c r="Q155" s="547">
        <f>T155/S155*100</f>
        <v>104.68727940138361</v>
      </c>
      <c r="R155" s="310">
        <f>S155/O155*100</f>
        <v>113.12231726380463</v>
      </c>
      <c r="S155" s="665">
        <f>SUM(S151:S152)</f>
        <v>22028.308840780675</v>
      </c>
      <c r="T155" s="665">
        <f>SUM(T151:T152)</f>
        <v>23060.837223547751</v>
      </c>
      <c r="V155" s="319"/>
      <c r="X155" s="333"/>
      <c r="Y155"/>
      <c r="Z155"/>
      <c r="AA155"/>
      <c r="AB155"/>
    </row>
    <row r="156" spans="1:31" ht="12.75" customHeight="1" x14ac:dyDescent="0.2">
      <c r="A156"/>
      <c r="B156"/>
      <c r="C156"/>
      <c r="D156"/>
      <c r="E156"/>
      <c r="F156"/>
      <c r="G156"/>
      <c r="H156"/>
      <c r="M156" s="565"/>
      <c r="N156" s="566" t="s">
        <v>686</v>
      </c>
      <c r="O156" s="324">
        <f>SUM(O153:O154)</f>
        <v>41449.227222970687</v>
      </c>
      <c r="P156" s="664">
        <f>T156/O156*100</f>
        <v>117.04053975491175</v>
      </c>
      <c r="Q156" s="547">
        <f>T156/S156*100</f>
        <v>104.38908659549229</v>
      </c>
      <c r="R156" s="310">
        <f>S156/O156*100</f>
        <v>112.11951706067114</v>
      </c>
      <c r="S156" s="665">
        <f>SUM(S153:S154)</f>
        <v>46472.673387774965</v>
      </c>
      <c r="T156" s="665">
        <f>SUM(T153:T154)</f>
        <v>48512.399266004708</v>
      </c>
      <c r="V156" s="319"/>
      <c r="X156" s="333"/>
      <c r="Y156"/>
      <c r="Z156"/>
      <c r="AA156"/>
      <c r="AB156"/>
    </row>
    <row r="157" spans="1:31" ht="12.75" customHeight="1" x14ac:dyDescent="0.2">
      <c r="A157"/>
      <c r="B157"/>
      <c r="C157"/>
      <c r="D157"/>
      <c r="E157"/>
      <c r="F157"/>
      <c r="G157"/>
      <c r="H157"/>
      <c r="M157" s="565" t="s">
        <v>680</v>
      </c>
      <c r="N157" s="310" t="s">
        <v>646</v>
      </c>
      <c r="O157" s="324">
        <f t="shared" ref="O157:T157" si="62">B$66</f>
        <v>1158.280405170012</v>
      </c>
      <c r="P157" s="547">
        <f t="shared" si="62"/>
        <v>115.01401193842288</v>
      </c>
      <c r="Q157" s="547">
        <f t="shared" si="62"/>
        <v>104.39836632108074</v>
      </c>
      <c r="R157" s="547">
        <f t="shared" si="62"/>
        <v>110.16840204634366</v>
      </c>
      <c r="S157" s="324">
        <f t="shared" si="62"/>
        <v>1276.0590135917171</v>
      </c>
      <c r="T157" s="324">
        <f t="shared" si="62"/>
        <v>1332.1847634826504</v>
      </c>
      <c r="Y157"/>
      <c r="Z157"/>
      <c r="AA157"/>
      <c r="AB157"/>
    </row>
    <row r="158" spans="1:31" ht="12.75" customHeight="1" x14ac:dyDescent="0.2">
      <c r="A158"/>
      <c r="B158"/>
      <c r="C158"/>
      <c r="D158"/>
      <c r="E158"/>
      <c r="F158"/>
      <c r="G158"/>
      <c r="H158"/>
      <c r="M158" s="565" t="s">
        <v>681</v>
      </c>
      <c r="N158" s="310" t="s">
        <v>648</v>
      </c>
      <c r="O158" s="324">
        <f t="shared" ref="O158:T158" si="63">B$72</f>
        <v>408.74923639105259</v>
      </c>
      <c r="P158" s="547">
        <f t="shared" si="63"/>
        <v>114.76401193842288</v>
      </c>
      <c r="Q158" s="547">
        <f t="shared" si="63"/>
        <v>104.39836632108074</v>
      </c>
      <c r="R158" s="547">
        <f t="shared" si="63"/>
        <v>109.92893469756247</v>
      </c>
      <c r="S158" s="324">
        <f t="shared" si="63"/>
        <v>449.33368114910542</v>
      </c>
      <c r="T158" s="324">
        <f t="shared" si="63"/>
        <v>469.09702245003996</v>
      </c>
      <c r="Y158"/>
      <c r="Z158"/>
      <c r="AA158"/>
      <c r="AB158"/>
    </row>
    <row r="159" spans="1:31" ht="12.75" customHeight="1" x14ac:dyDescent="0.2">
      <c r="A159"/>
      <c r="B159"/>
      <c r="C159"/>
      <c r="D159"/>
      <c r="E159"/>
      <c r="F159"/>
      <c r="G159"/>
      <c r="H159"/>
      <c r="M159" s="565"/>
      <c r="Y159"/>
      <c r="Z159"/>
      <c r="AA159"/>
      <c r="AB159"/>
    </row>
    <row r="160" spans="1:31" ht="12.75" customHeight="1" x14ac:dyDescent="0.2">
      <c r="A160"/>
      <c r="B160"/>
      <c r="C160"/>
      <c r="D160"/>
      <c r="E160"/>
      <c r="F160"/>
      <c r="G160"/>
      <c r="H160"/>
      <c r="I160"/>
      <c r="J160"/>
      <c r="K160"/>
      <c r="M160" s="565"/>
      <c r="Y160"/>
      <c r="Z160"/>
      <c r="AA160"/>
      <c r="AB160"/>
    </row>
    <row r="161" spans="1:28" ht="12.7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 s="3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8" ht="12.7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 s="361"/>
      <c r="N162" s="666" t="s">
        <v>687</v>
      </c>
      <c r="O162" s="667" t="s">
        <v>688</v>
      </c>
      <c r="P162" s="668"/>
      <c r="Q162" s="668"/>
      <c r="R162" s="668"/>
      <c r="S162" s="668"/>
      <c r="T162" s="667" t="str">
        <f>G$2</f>
        <v>SD 2021</v>
      </c>
      <c r="U162"/>
      <c r="V162"/>
      <c r="W162"/>
      <c r="X162"/>
      <c r="Y162"/>
      <c r="Z162"/>
      <c r="AB162" s="318"/>
    </row>
    <row r="163" spans="1:28" ht="12.7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 s="361"/>
      <c r="N163" s="669"/>
      <c r="O163" s="667" t="s">
        <v>433</v>
      </c>
      <c r="P163" s="667" t="s">
        <v>434</v>
      </c>
      <c r="Q163" s="670" t="s">
        <v>435</v>
      </c>
      <c r="R163" s="667" t="s">
        <v>436</v>
      </c>
      <c r="S163" s="671" t="s">
        <v>437</v>
      </c>
      <c r="T163" s="672" t="s">
        <v>433</v>
      </c>
      <c r="U163"/>
      <c r="V163"/>
      <c r="W163"/>
      <c r="X163"/>
      <c r="Y163"/>
      <c r="Z163"/>
      <c r="AB163" s="318"/>
    </row>
    <row r="164" spans="1:28" ht="12.7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 s="565" t="s">
        <v>632</v>
      </c>
      <c r="N164" s="673" t="s">
        <v>689</v>
      </c>
      <c r="O164" s="674">
        <f t="shared" ref="O164:T164" si="64">B$14</f>
        <v>690</v>
      </c>
      <c r="P164" s="675">
        <f t="shared" si="64"/>
        <v>107.22071156289708</v>
      </c>
      <c r="Q164" s="675">
        <f t="shared" si="64"/>
        <v>104.68727940138361</v>
      </c>
      <c r="R164" s="675">
        <f t="shared" si="64"/>
        <v>102.42</v>
      </c>
      <c r="S164" s="674">
        <f t="shared" si="64"/>
        <v>706.69799999999998</v>
      </c>
      <c r="T164" s="676">
        <f t="shared" si="64"/>
        <v>739.82290978398987</v>
      </c>
      <c r="U164"/>
      <c r="V164"/>
      <c r="W164"/>
      <c r="X164"/>
      <c r="Y164"/>
      <c r="Z164"/>
    </row>
    <row r="165" spans="1:28" ht="12.7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 s="565" t="s">
        <v>654</v>
      </c>
      <c r="N165" s="673" t="s">
        <v>690</v>
      </c>
      <c r="O165" s="677">
        <f t="shared" ref="O165:T165" si="65">B$13</f>
        <v>10386.954459490174</v>
      </c>
      <c r="P165" s="678">
        <f t="shared" si="65"/>
        <v>117.2706903854299</v>
      </c>
      <c r="Q165" s="678">
        <f t="shared" si="65"/>
        <v>104.68727940138361</v>
      </c>
      <c r="R165" s="678">
        <f t="shared" si="65"/>
        <v>112.02</v>
      </c>
      <c r="S165" s="677">
        <f t="shared" si="65"/>
        <v>11635.466385520893</v>
      </c>
      <c r="T165" s="679">
        <f t="shared" si="65"/>
        <v>12180.853204664327</v>
      </c>
      <c r="U165"/>
      <c r="V165"/>
      <c r="W165"/>
      <c r="X165"/>
      <c r="Y165"/>
      <c r="Z165"/>
    </row>
    <row r="166" spans="1:28" ht="12.7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 s="565" t="s">
        <v>637</v>
      </c>
      <c r="N166" s="673" t="s">
        <v>691</v>
      </c>
      <c r="O166" s="674">
        <f t="shared" ref="O166:T166" si="66">B$34</f>
        <v>314</v>
      </c>
      <c r="P166" s="675">
        <f t="shared" si="66"/>
        <v>106.75682087781732</v>
      </c>
      <c r="Q166" s="675">
        <f t="shared" si="66"/>
        <v>104.38908659549229</v>
      </c>
      <c r="R166" s="675">
        <f t="shared" si="66"/>
        <v>102.26818181818183</v>
      </c>
      <c r="S166" s="674">
        <f t="shared" si="66"/>
        <v>321.1220909090909</v>
      </c>
      <c r="T166" s="676">
        <f t="shared" si="66"/>
        <v>335.21641755634636</v>
      </c>
      <c r="U166"/>
      <c r="V166"/>
      <c r="W166"/>
      <c r="X166"/>
      <c r="Y166"/>
      <c r="Z166"/>
    </row>
    <row r="167" spans="1:28" ht="12.7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 s="565"/>
      <c r="N167" s="673"/>
      <c r="O167" s="674"/>
      <c r="P167" s="675"/>
      <c r="Q167" s="675"/>
      <c r="R167" s="675"/>
      <c r="S167" s="674"/>
      <c r="T167" s="676"/>
      <c r="U167"/>
      <c r="V167"/>
      <c r="W167"/>
      <c r="X167"/>
      <c r="Y167"/>
      <c r="Z167"/>
    </row>
    <row r="168" spans="1:28" ht="12.75" customHeight="1" thickBo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 s="565" t="s">
        <v>655</v>
      </c>
      <c r="N168" s="673" t="s">
        <v>692</v>
      </c>
      <c r="O168" s="677">
        <f t="shared" ref="O168:T168" si="67">B$31</f>
        <v>6064.2986718217044</v>
      </c>
      <c r="P168" s="678">
        <f t="shared" si="67"/>
        <v>114.70682087781732</v>
      </c>
      <c r="Q168" s="678">
        <f t="shared" si="67"/>
        <v>104.38908659549229</v>
      </c>
      <c r="R168" s="678">
        <f t="shared" si="67"/>
        <v>109.88392045454547</v>
      </c>
      <c r="S168" s="677">
        <f t="shared" si="67"/>
        <v>6663.6891286706186</v>
      </c>
      <c r="T168" s="679">
        <f t="shared" si="67"/>
        <v>6956.1642149823774</v>
      </c>
      <c r="U168"/>
      <c r="V168"/>
      <c r="W168"/>
      <c r="X168"/>
      <c r="Y168"/>
      <c r="Z168"/>
      <c r="AA168"/>
    </row>
    <row r="169" spans="1:28" ht="12.7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 s="361"/>
      <c r="N169" s="680" t="s">
        <v>685</v>
      </c>
      <c r="O169" s="681">
        <f>O164+O165</f>
        <v>11076.954459490174</v>
      </c>
      <c r="P169" s="682">
        <f>T169/O169*100</f>
        <v>116.64466222824032</v>
      </c>
      <c r="Q169" s="683">
        <f>T169/S169*100</f>
        <v>104.68727940138361</v>
      </c>
      <c r="R169" s="684">
        <f>S169/O169*100</f>
        <v>111.42200169421794</v>
      </c>
      <c r="S169" s="681">
        <f>S164+S165</f>
        <v>12342.164385520893</v>
      </c>
      <c r="T169" s="685">
        <f>T164+T165</f>
        <v>12920.676114448317</v>
      </c>
      <c r="U169"/>
      <c r="V169"/>
      <c r="W169"/>
      <c r="X169"/>
      <c r="Y169"/>
      <c r="Z169"/>
      <c r="AA169"/>
    </row>
    <row r="170" spans="1:28" ht="12.75" customHeight="1" thickBo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 s="361"/>
      <c r="N170" s="686" t="s">
        <v>686</v>
      </c>
      <c r="O170" s="687">
        <f>O166+O168</f>
        <v>6378.2986718217044</v>
      </c>
      <c r="P170" s="688">
        <f>T170/O170*100</f>
        <v>114.31544691926811</v>
      </c>
      <c r="Q170" s="689">
        <f>T170/S170*100</f>
        <v>104.38908659549229</v>
      </c>
      <c r="R170" s="689">
        <f>S170/O170*100</f>
        <v>109.50900199198071</v>
      </c>
      <c r="S170" s="687">
        <f>S166+S168</f>
        <v>6984.8112195797094</v>
      </c>
      <c r="T170" s="690">
        <f>T166+T168</f>
        <v>7291.3806325387241</v>
      </c>
      <c r="U170"/>
      <c r="V170"/>
      <c r="W170"/>
      <c r="X170"/>
      <c r="Y170"/>
      <c r="Z170"/>
      <c r="AA170"/>
    </row>
    <row r="171" spans="1:28" ht="12.7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 s="361"/>
      <c r="N171" s="684" t="s">
        <v>693</v>
      </c>
      <c r="O171" s="681">
        <f>SUM(O169:O170)</f>
        <v>17455.253131311878</v>
      </c>
      <c r="P171" s="682">
        <f>T171/O171*100</f>
        <v>115.79354704819438</v>
      </c>
      <c r="Q171" s="683">
        <f>T171/S171*100</f>
        <v>104.5795118696836</v>
      </c>
      <c r="R171" s="684">
        <f>S171/O171*100</f>
        <v>110.7229752539719</v>
      </c>
      <c r="S171" s="681">
        <f>SUM(S169:S170)</f>
        <v>19326.975605100604</v>
      </c>
      <c r="T171" s="681">
        <f>SUM(T169:T170)</f>
        <v>20212.05674698704</v>
      </c>
      <c r="U171"/>
      <c r="V171"/>
      <c r="W171"/>
      <c r="X171"/>
      <c r="Y171"/>
      <c r="Z171"/>
      <c r="AA171"/>
    </row>
    <row r="172" spans="1:28" ht="12.7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 s="565" t="s">
        <v>640</v>
      </c>
      <c r="N172" s="673" t="s">
        <v>694</v>
      </c>
      <c r="O172" s="674">
        <f t="shared" ref="O172:T172" si="68">B$48</f>
        <v>5052</v>
      </c>
      <c r="P172" s="675">
        <f t="shared" si="68"/>
        <v>116.69133627019093</v>
      </c>
      <c r="Q172" s="675">
        <f t="shared" si="68"/>
        <v>103.81791483113072</v>
      </c>
      <c r="R172" s="675">
        <f t="shared" si="68"/>
        <v>112.4</v>
      </c>
      <c r="S172" s="674">
        <f t="shared" si="68"/>
        <v>5678.4480000000003</v>
      </c>
      <c r="T172" s="676">
        <f t="shared" si="68"/>
        <v>5895.2463083700459</v>
      </c>
      <c r="U172"/>
      <c r="V172"/>
      <c r="W172"/>
      <c r="X172"/>
      <c r="Y172"/>
      <c r="Z172"/>
      <c r="AA172"/>
    </row>
    <row r="173" spans="1:28" ht="12.7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 s="565" t="s">
        <v>657</v>
      </c>
      <c r="N173" s="673" t="s">
        <v>695</v>
      </c>
      <c r="O173" s="677">
        <f t="shared" ref="O173:T173" si="69">B$47</f>
        <v>11563.072861123541</v>
      </c>
      <c r="P173" s="678">
        <f t="shared" si="69"/>
        <v>125.04867841409694</v>
      </c>
      <c r="Q173" s="678">
        <f t="shared" si="69"/>
        <v>103.81791483113072</v>
      </c>
      <c r="R173" s="678">
        <f t="shared" si="69"/>
        <v>120.45</v>
      </c>
      <c r="S173" s="677">
        <f t="shared" si="69"/>
        <v>13927.721261223305</v>
      </c>
      <c r="T173" s="679">
        <f t="shared" si="69"/>
        <v>14459.469796894096</v>
      </c>
      <c r="U173"/>
      <c r="V173"/>
      <c r="W173"/>
      <c r="X173"/>
      <c r="Y173"/>
      <c r="Z173"/>
      <c r="AA173"/>
    </row>
    <row r="174" spans="1:28" ht="12.7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 s="565" t="s">
        <v>642</v>
      </c>
      <c r="N174" s="673" t="s">
        <v>696</v>
      </c>
      <c r="O174" s="674">
        <f t="shared" ref="O174:T174" si="70">B$55</f>
        <v>9280</v>
      </c>
      <c r="P174" s="675">
        <f t="shared" si="70"/>
        <v>104.8876841462484</v>
      </c>
      <c r="Q174" s="675">
        <f t="shared" si="70"/>
        <v>102.29753453934818</v>
      </c>
      <c r="R174" s="675">
        <f t="shared" si="70"/>
        <v>102.53197657066107</v>
      </c>
      <c r="S174" s="674">
        <f t="shared" si="70"/>
        <v>9514.9674257573479</v>
      </c>
      <c r="T174" s="676">
        <f t="shared" si="70"/>
        <v>9733.5770887718518</v>
      </c>
      <c r="U174"/>
      <c r="V174"/>
      <c r="W174"/>
      <c r="X174"/>
      <c r="Y174"/>
      <c r="Z174"/>
    </row>
    <row r="175" spans="1:28" ht="12.75" customHeight="1" thickBo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 s="565" t="s">
        <v>658</v>
      </c>
      <c r="N175" s="673" t="s">
        <v>697</v>
      </c>
      <c r="O175" s="691">
        <f t="shared" ref="O175:T175" si="71">B$52</f>
        <v>14102.994932939273</v>
      </c>
      <c r="P175" s="692">
        <f t="shared" si="71"/>
        <v>112.20768414624841</v>
      </c>
      <c r="Q175" s="692">
        <f t="shared" si="71"/>
        <v>102.29753453934818</v>
      </c>
      <c r="R175" s="692">
        <f t="shared" si="71"/>
        <v>109.68757424265037</v>
      </c>
      <c r="S175" s="691">
        <f t="shared" si="71"/>
        <v>15469.233037504984</v>
      </c>
      <c r="T175" s="693">
        <f t="shared" si="71"/>
        <v>15824.644009513919</v>
      </c>
      <c r="U175"/>
      <c r="V175"/>
      <c r="W175"/>
      <c r="X175"/>
      <c r="Y175"/>
      <c r="Z175"/>
    </row>
    <row r="176" spans="1:28" ht="12.7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 s="565"/>
      <c r="N176" s="680" t="s">
        <v>698</v>
      </c>
      <c r="O176" s="681">
        <f>SUM(O172:O173)</f>
        <v>16615.072861123539</v>
      </c>
      <c r="P176" s="682">
        <f>T176/O176*100</f>
        <v>122.50753442610977</v>
      </c>
      <c r="Q176" s="683">
        <f>T176/S176*100</f>
        <v>103.81791483113072</v>
      </c>
      <c r="R176" s="683">
        <f>S176/O176*100</f>
        <v>118.00230685174078</v>
      </c>
      <c r="S176" s="681">
        <f>SUM(S172:S173)</f>
        <v>19606.169261223306</v>
      </c>
      <c r="T176" s="685">
        <f>SUM(T172:T173)</f>
        <v>20354.716105264142</v>
      </c>
      <c r="U176"/>
      <c r="V176"/>
      <c r="W176"/>
      <c r="X176"/>
      <c r="Y176"/>
      <c r="Z176"/>
    </row>
    <row r="177" spans="1:26" ht="12.75" customHeight="1" thickBo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 s="361"/>
      <c r="N177" s="686" t="s">
        <v>699</v>
      </c>
      <c r="O177" s="687">
        <f>SUM(O174:O175)</f>
        <v>23382.994932939273</v>
      </c>
      <c r="P177" s="688">
        <f>T177/O177*100</f>
        <v>109.3025986259882</v>
      </c>
      <c r="Q177" s="694">
        <f>T177/S177*100</f>
        <v>102.29753453934818</v>
      </c>
      <c r="R177" s="694">
        <f>S177/O177*100</f>
        <v>106.84773500963072</v>
      </c>
      <c r="S177" s="687">
        <f>SUM(S174:S175)</f>
        <v>24984.200463262332</v>
      </c>
      <c r="T177" s="690">
        <f>SUM(T174:T175)</f>
        <v>25558.221098285772</v>
      </c>
      <c r="U177"/>
      <c r="V177"/>
      <c r="W177"/>
      <c r="X177"/>
      <c r="Y177"/>
      <c r="Z177"/>
    </row>
    <row r="178" spans="1:26" ht="12.7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 s="361"/>
      <c r="N178" s="684" t="s">
        <v>700</v>
      </c>
      <c r="O178" s="695">
        <f>SUM(O176:O177)</f>
        <v>39998.067794062808</v>
      </c>
      <c r="P178" s="682">
        <f>T178/O178*100</f>
        <v>114.78788785483556</v>
      </c>
      <c r="Q178" s="683">
        <f>T178/S178*100</f>
        <v>102.96603837832279</v>
      </c>
      <c r="R178" s="683">
        <f>S178/O178*100</f>
        <v>111.48130943241337</v>
      </c>
      <c r="S178" s="695">
        <f>SUM(S176:S177)</f>
        <v>44590.369724485638</v>
      </c>
      <c r="T178" s="695">
        <f>SUM(T176:T177)</f>
        <v>45912.937203549911</v>
      </c>
      <c r="U178"/>
      <c r="V178"/>
      <c r="W178"/>
      <c r="X178"/>
      <c r="Y178"/>
      <c r="Z178"/>
    </row>
    <row r="179" spans="1:26" ht="12.75" customHeight="1" x14ac:dyDescent="0.2">
      <c r="A179"/>
      <c r="B179" s="325"/>
      <c r="C179"/>
      <c r="D179"/>
      <c r="E179"/>
      <c r="F179"/>
      <c r="G179" s="325"/>
      <c r="H179"/>
      <c r="I179"/>
      <c r="J179"/>
      <c r="K179"/>
      <c r="L179"/>
      <c r="M179" s="565" t="s">
        <v>645</v>
      </c>
      <c r="N179" s="673" t="s">
        <v>701</v>
      </c>
      <c r="O179" s="696">
        <f t="shared" ref="O179:T179" si="72">B$68</f>
        <v>3954</v>
      </c>
      <c r="P179" s="697">
        <f t="shared" si="72"/>
        <v>109.36401193842288</v>
      </c>
      <c r="Q179" s="697">
        <f t="shared" si="72"/>
        <v>104.39836632108074</v>
      </c>
      <c r="R179" s="697">
        <f t="shared" si="72"/>
        <v>104.75643996388806</v>
      </c>
      <c r="S179" s="696">
        <f t="shared" si="72"/>
        <v>4142.0696361721339</v>
      </c>
      <c r="T179" s="698">
        <f t="shared" si="72"/>
        <v>4324.2530320452406</v>
      </c>
      <c r="U179"/>
      <c r="V179"/>
      <c r="W179"/>
      <c r="X179"/>
      <c r="Y179"/>
      <c r="Z179"/>
    </row>
    <row r="180" spans="1:26" ht="12.7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 s="565" t="s">
        <v>660</v>
      </c>
      <c r="N180" s="673" t="s">
        <v>702</v>
      </c>
      <c r="O180" s="677">
        <f t="shared" ref="O180:T180" si="73">B$67</f>
        <v>4423.2190232957482</v>
      </c>
      <c r="P180" s="678">
        <f t="shared" si="73"/>
        <v>118.16401193842289</v>
      </c>
      <c r="Q180" s="678">
        <f t="shared" si="73"/>
        <v>104.39836632108074</v>
      </c>
      <c r="R180" s="678">
        <f t="shared" si="73"/>
        <v>113.18569064098708</v>
      </c>
      <c r="S180" s="677">
        <f t="shared" si="73"/>
        <v>5006.451000080815</v>
      </c>
      <c r="T180" s="679">
        <f t="shared" si="73"/>
        <v>5226.6530547497796</v>
      </c>
      <c r="U180"/>
      <c r="V180"/>
      <c r="W180"/>
      <c r="X180"/>
      <c r="Y180"/>
      <c r="Z180"/>
    </row>
    <row r="181" spans="1:26" ht="12.7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 s="565" t="s">
        <v>647</v>
      </c>
      <c r="N181" s="673" t="s">
        <v>703</v>
      </c>
      <c r="O181" s="674">
        <f t="shared" ref="O181:T181" si="74">B$78</f>
        <v>1044</v>
      </c>
      <c r="P181" s="675">
        <f t="shared" si="74"/>
        <v>109.66401193842289</v>
      </c>
      <c r="Q181" s="675">
        <f t="shared" si="74"/>
        <v>104.39836632108074</v>
      </c>
      <c r="R181" s="675">
        <f t="shared" si="74"/>
        <v>105.04380078242555</v>
      </c>
      <c r="S181" s="674">
        <f t="shared" si="74"/>
        <v>1096.6572801685227</v>
      </c>
      <c r="T181" s="676">
        <f t="shared" si="74"/>
        <v>1144.8922846371349</v>
      </c>
      <c r="U181"/>
      <c r="V181"/>
      <c r="W181"/>
      <c r="X181"/>
      <c r="Y181"/>
      <c r="Z181"/>
    </row>
    <row r="182" spans="1:26" ht="12.75" customHeight="1" thickBo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 s="565" t="s">
        <v>662</v>
      </c>
      <c r="N182" s="699" t="s">
        <v>704</v>
      </c>
      <c r="O182" s="691">
        <f t="shared" ref="O182:T182" si="75">B$75</f>
        <v>1404.4600513295497</v>
      </c>
      <c r="P182" s="692">
        <f t="shared" si="75"/>
        <v>117.46401193842289</v>
      </c>
      <c r="Q182" s="692">
        <f t="shared" si="75"/>
        <v>104.39836632108074</v>
      </c>
      <c r="R182" s="692">
        <f t="shared" si="75"/>
        <v>112.51518206439964</v>
      </c>
      <c r="S182" s="691">
        <f t="shared" si="75"/>
        <v>1580.2307837752035</v>
      </c>
      <c r="T182" s="693">
        <f t="shared" si="75"/>
        <v>1649.7351223641224</v>
      </c>
      <c r="U182"/>
      <c r="V182"/>
      <c r="W182"/>
      <c r="X182"/>
      <c r="Y182"/>
      <c r="Z182"/>
    </row>
    <row r="183" spans="1:26" ht="12.7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 s="361"/>
      <c r="N183" s="680" t="s">
        <v>705</v>
      </c>
      <c r="O183" s="681">
        <f>SUM(O179:O180)</f>
        <v>8377.2190232957473</v>
      </c>
      <c r="P183" s="682">
        <f>T183/O183*100</f>
        <v>114.01046170853874</v>
      </c>
      <c r="Q183" s="683">
        <f>T183/S183*100</f>
        <v>104.39836632108074</v>
      </c>
      <c r="R183" s="684">
        <f>S183/O183*100</f>
        <v>109.20713199466712</v>
      </c>
      <c r="S183" s="681">
        <f>SUM(S179:S180)</f>
        <v>9148.5206362529498</v>
      </c>
      <c r="T183" s="685">
        <f>SUM(T179:T180)</f>
        <v>9550.9060867950211</v>
      </c>
      <c r="U183"/>
      <c r="V183"/>
      <c r="W183"/>
      <c r="X183"/>
      <c r="Y183"/>
      <c r="Z183"/>
    </row>
    <row r="184" spans="1:26" ht="12.75" customHeight="1" thickBo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 s="361"/>
      <c r="N184" s="686" t="s">
        <v>706</v>
      </c>
      <c r="O184" s="687">
        <f>SUM(O181:O182)</f>
        <v>2448.46005132955</v>
      </c>
      <c r="P184" s="688">
        <f>T184/O184*100</f>
        <v>114.13816637456402</v>
      </c>
      <c r="Q184" s="694">
        <f>T184/S184*100</f>
        <v>104.39836632108074</v>
      </c>
      <c r="R184" s="689">
        <f>S184/O184*100</f>
        <v>109.32945638586737</v>
      </c>
      <c r="S184" s="687">
        <f>SUM(S181:S182)</f>
        <v>2676.8880639437261</v>
      </c>
      <c r="T184" s="690">
        <f>SUM(T181:T182)</f>
        <v>2794.6274070012573</v>
      </c>
      <c r="U184"/>
      <c r="V184"/>
      <c r="W184"/>
      <c r="X184"/>
      <c r="Y184"/>
      <c r="Z184"/>
    </row>
    <row r="185" spans="1:26" ht="12.75" x14ac:dyDescent="0.2">
      <c r="M185" s="361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2.75" x14ac:dyDescent="0.2"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</sheetData>
  <mergeCells count="4">
    <mergeCell ref="Z49:AA49"/>
    <mergeCell ref="O63:Q63"/>
    <mergeCell ref="R63:T63"/>
    <mergeCell ref="U63:W63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9A56-BAFD-4F9E-A7C9-D39A99546079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B3DE-C574-4798-AC88-7CCF230F600C}">
  <dimension ref="A1:AK109"/>
  <sheetViews>
    <sheetView workbookViewId="0">
      <selection activeCell="J4" sqref="J4"/>
    </sheetView>
  </sheetViews>
  <sheetFormatPr baseColWidth="10" defaultColWidth="10.85546875" defaultRowHeight="12.75" x14ac:dyDescent="0.2"/>
  <cols>
    <col min="1" max="1" width="28.7109375" style="713" customWidth="1"/>
    <col min="2" max="2" width="8.28515625" style="713" customWidth="1"/>
    <col min="3" max="3" width="8.28515625" style="713" hidden="1" customWidth="1"/>
    <col min="4" max="7" width="6.85546875" style="713" customWidth="1"/>
    <col min="8" max="8" width="8.85546875" style="713" customWidth="1"/>
    <col min="9" max="10" width="9" style="713" customWidth="1"/>
    <col min="11" max="11" width="10.140625" style="714" customWidth="1"/>
    <col min="12" max="12" width="15.5703125" style="713" customWidth="1"/>
    <col min="13" max="13" width="8.5703125" style="713" customWidth="1"/>
    <col min="14" max="14" width="11.42578125" style="713" customWidth="1"/>
    <col min="15" max="15" width="7.7109375" style="713" customWidth="1"/>
    <col min="16" max="17" width="8.28515625" style="713" customWidth="1"/>
    <col min="18" max="18" width="9.7109375" style="713" customWidth="1"/>
    <col min="19" max="19" width="9.140625" style="713" customWidth="1"/>
    <col min="20" max="20" width="9.5703125" style="713" customWidth="1"/>
    <col min="21" max="21" width="6.7109375" style="713" customWidth="1"/>
    <col min="22" max="22" width="8.7109375" style="713" customWidth="1"/>
    <col min="23" max="23" width="9.140625" style="713" customWidth="1"/>
    <col min="24" max="24" width="9.7109375" style="713" customWidth="1"/>
    <col min="25" max="25" width="10.85546875" style="717"/>
    <col min="26" max="26" width="10.140625" style="713" customWidth="1"/>
    <col min="27" max="27" width="9.140625" style="713" customWidth="1"/>
    <col min="28" max="256" width="10.85546875" style="717"/>
    <col min="257" max="257" width="28.7109375" style="717" customWidth="1"/>
    <col min="258" max="258" width="8.28515625" style="717" customWidth="1"/>
    <col min="259" max="259" width="0" style="717" hidden="1" customWidth="1"/>
    <col min="260" max="263" width="6.85546875" style="717" customWidth="1"/>
    <col min="264" max="264" width="8.85546875" style="717" customWidth="1"/>
    <col min="265" max="266" width="9" style="717" customWidth="1"/>
    <col min="267" max="267" width="10.140625" style="717" customWidth="1"/>
    <col min="268" max="268" width="15.5703125" style="717" customWidth="1"/>
    <col min="269" max="269" width="8.5703125" style="717" customWidth="1"/>
    <col min="270" max="270" width="11.42578125" style="717" customWidth="1"/>
    <col min="271" max="271" width="7.7109375" style="717" customWidth="1"/>
    <col min="272" max="273" width="8.28515625" style="717" customWidth="1"/>
    <col min="274" max="274" width="9.7109375" style="717" customWidth="1"/>
    <col min="275" max="275" width="9.140625" style="717" customWidth="1"/>
    <col min="276" max="276" width="9.5703125" style="717" customWidth="1"/>
    <col min="277" max="277" width="6.7109375" style="717" customWidth="1"/>
    <col min="278" max="278" width="8.7109375" style="717" customWidth="1"/>
    <col min="279" max="279" width="9.140625" style="717" customWidth="1"/>
    <col min="280" max="280" width="9.7109375" style="717" customWidth="1"/>
    <col min="281" max="281" width="10.85546875" style="717"/>
    <col min="282" max="282" width="10.140625" style="717" customWidth="1"/>
    <col min="283" max="283" width="9.140625" style="717" customWidth="1"/>
    <col min="284" max="512" width="10.85546875" style="717"/>
    <col min="513" max="513" width="28.7109375" style="717" customWidth="1"/>
    <col min="514" max="514" width="8.28515625" style="717" customWidth="1"/>
    <col min="515" max="515" width="0" style="717" hidden="1" customWidth="1"/>
    <col min="516" max="519" width="6.85546875" style="717" customWidth="1"/>
    <col min="520" max="520" width="8.85546875" style="717" customWidth="1"/>
    <col min="521" max="522" width="9" style="717" customWidth="1"/>
    <col min="523" max="523" width="10.140625" style="717" customWidth="1"/>
    <col min="524" max="524" width="15.5703125" style="717" customWidth="1"/>
    <col min="525" max="525" width="8.5703125" style="717" customWidth="1"/>
    <col min="526" max="526" width="11.42578125" style="717" customWidth="1"/>
    <col min="527" max="527" width="7.7109375" style="717" customWidth="1"/>
    <col min="528" max="529" width="8.28515625" style="717" customWidth="1"/>
    <col min="530" max="530" width="9.7109375" style="717" customWidth="1"/>
    <col min="531" max="531" width="9.140625" style="717" customWidth="1"/>
    <col min="532" max="532" width="9.5703125" style="717" customWidth="1"/>
    <col min="533" max="533" width="6.7109375" style="717" customWidth="1"/>
    <col min="534" max="534" width="8.7109375" style="717" customWidth="1"/>
    <col min="535" max="535" width="9.140625" style="717" customWidth="1"/>
    <col min="536" max="536" width="9.7109375" style="717" customWidth="1"/>
    <col min="537" max="537" width="10.85546875" style="717"/>
    <col min="538" max="538" width="10.140625" style="717" customWidth="1"/>
    <col min="539" max="539" width="9.140625" style="717" customWidth="1"/>
    <col min="540" max="768" width="10.85546875" style="717"/>
    <col min="769" max="769" width="28.7109375" style="717" customWidth="1"/>
    <col min="770" max="770" width="8.28515625" style="717" customWidth="1"/>
    <col min="771" max="771" width="0" style="717" hidden="1" customWidth="1"/>
    <col min="772" max="775" width="6.85546875" style="717" customWidth="1"/>
    <col min="776" max="776" width="8.85546875" style="717" customWidth="1"/>
    <col min="777" max="778" width="9" style="717" customWidth="1"/>
    <col min="779" max="779" width="10.140625" style="717" customWidth="1"/>
    <col min="780" max="780" width="15.5703125" style="717" customWidth="1"/>
    <col min="781" max="781" width="8.5703125" style="717" customWidth="1"/>
    <col min="782" max="782" width="11.42578125" style="717" customWidth="1"/>
    <col min="783" max="783" width="7.7109375" style="717" customWidth="1"/>
    <col min="784" max="785" width="8.28515625" style="717" customWidth="1"/>
    <col min="786" max="786" width="9.7109375" style="717" customWidth="1"/>
    <col min="787" max="787" width="9.140625" style="717" customWidth="1"/>
    <col min="788" max="788" width="9.5703125" style="717" customWidth="1"/>
    <col min="789" max="789" width="6.7109375" style="717" customWidth="1"/>
    <col min="790" max="790" width="8.7109375" style="717" customWidth="1"/>
    <col min="791" max="791" width="9.140625" style="717" customWidth="1"/>
    <col min="792" max="792" width="9.7109375" style="717" customWidth="1"/>
    <col min="793" max="793" width="10.85546875" style="717"/>
    <col min="794" max="794" width="10.140625" style="717" customWidth="1"/>
    <col min="795" max="795" width="9.140625" style="717" customWidth="1"/>
    <col min="796" max="1024" width="10.85546875" style="717"/>
    <col min="1025" max="1025" width="28.7109375" style="717" customWidth="1"/>
    <col min="1026" max="1026" width="8.28515625" style="717" customWidth="1"/>
    <col min="1027" max="1027" width="0" style="717" hidden="1" customWidth="1"/>
    <col min="1028" max="1031" width="6.85546875" style="717" customWidth="1"/>
    <col min="1032" max="1032" width="8.85546875" style="717" customWidth="1"/>
    <col min="1033" max="1034" width="9" style="717" customWidth="1"/>
    <col min="1035" max="1035" width="10.140625" style="717" customWidth="1"/>
    <col min="1036" max="1036" width="15.5703125" style="717" customWidth="1"/>
    <col min="1037" max="1037" width="8.5703125" style="717" customWidth="1"/>
    <col min="1038" max="1038" width="11.42578125" style="717" customWidth="1"/>
    <col min="1039" max="1039" width="7.7109375" style="717" customWidth="1"/>
    <col min="1040" max="1041" width="8.28515625" style="717" customWidth="1"/>
    <col min="1042" max="1042" width="9.7109375" style="717" customWidth="1"/>
    <col min="1043" max="1043" width="9.140625" style="717" customWidth="1"/>
    <col min="1044" max="1044" width="9.5703125" style="717" customWidth="1"/>
    <col min="1045" max="1045" width="6.7109375" style="717" customWidth="1"/>
    <col min="1046" max="1046" width="8.7109375" style="717" customWidth="1"/>
    <col min="1047" max="1047" width="9.140625" style="717" customWidth="1"/>
    <col min="1048" max="1048" width="9.7109375" style="717" customWidth="1"/>
    <col min="1049" max="1049" width="10.85546875" style="717"/>
    <col min="1050" max="1050" width="10.140625" style="717" customWidth="1"/>
    <col min="1051" max="1051" width="9.140625" style="717" customWidth="1"/>
    <col min="1052" max="1280" width="10.85546875" style="717"/>
    <col min="1281" max="1281" width="28.7109375" style="717" customWidth="1"/>
    <col min="1282" max="1282" width="8.28515625" style="717" customWidth="1"/>
    <col min="1283" max="1283" width="0" style="717" hidden="1" customWidth="1"/>
    <col min="1284" max="1287" width="6.85546875" style="717" customWidth="1"/>
    <col min="1288" max="1288" width="8.85546875" style="717" customWidth="1"/>
    <col min="1289" max="1290" width="9" style="717" customWidth="1"/>
    <col min="1291" max="1291" width="10.140625" style="717" customWidth="1"/>
    <col min="1292" max="1292" width="15.5703125" style="717" customWidth="1"/>
    <col min="1293" max="1293" width="8.5703125" style="717" customWidth="1"/>
    <col min="1294" max="1294" width="11.42578125" style="717" customWidth="1"/>
    <col min="1295" max="1295" width="7.7109375" style="717" customWidth="1"/>
    <col min="1296" max="1297" width="8.28515625" style="717" customWidth="1"/>
    <col min="1298" max="1298" width="9.7109375" style="717" customWidth="1"/>
    <col min="1299" max="1299" width="9.140625" style="717" customWidth="1"/>
    <col min="1300" max="1300" width="9.5703125" style="717" customWidth="1"/>
    <col min="1301" max="1301" width="6.7109375" style="717" customWidth="1"/>
    <col min="1302" max="1302" width="8.7109375" style="717" customWidth="1"/>
    <col min="1303" max="1303" width="9.140625" style="717" customWidth="1"/>
    <col min="1304" max="1304" width="9.7109375" style="717" customWidth="1"/>
    <col min="1305" max="1305" width="10.85546875" style="717"/>
    <col min="1306" max="1306" width="10.140625" style="717" customWidth="1"/>
    <col min="1307" max="1307" width="9.140625" style="717" customWidth="1"/>
    <col min="1308" max="1536" width="10.85546875" style="717"/>
    <col min="1537" max="1537" width="28.7109375" style="717" customWidth="1"/>
    <col min="1538" max="1538" width="8.28515625" style="717" customWidth="1"/>
    <col min="1539" max="1539" width="0" style="717" hidden="1" customWidth="1"/>
    <col min="1540" max="1543" width="6.85546875" style="717" customWidth="1"/>
    <col min="1544" max="1544" width="8.85546875" style="717" customWidth="1"/>
    <col min="1545" max="1546" width="9" style="717" customWidth="1"/>
    <col min="1547" max="1547" width="10.140625" style="717" customWidth="1"/>
    <col min="1548" max="1548" width="15.5703125" style="717" customWidth="1"/>
    <col min="1549" max="1549" width="8.5703125" style="717" customWidth="1"/>
    <col min="1550" max="1550" width="11.42578125" style="717" customWidth="1"/>
    <col min="1551" max="1551" width="7.7109375" style="717" customWidth="1"/>
    <col min="1552" max="1553" width="8.28515625" style="717" customWidth="1"/>
    <col min="1554" max="1554" width="9.7109375" style="717" customWidth="1"/>
    <col min="1555" max="1555" width="9.140625" style="717" customWidth="1"/>
    <col min="1556" max="1556" width="9.5703125" style="717" customWidth="1"/>
    <col min="1557" max="1557" width="6.7109375" style="717" customWidth="1"/>
    <col min="1558" max="1558" width="8.7109375" style="717" customWidth="1"/>
    <col min="1559" max="1559" width="9.140625" style="717" customWidth="1"/>
    <col min="1560" max="1560" width="9.7109375" style="717" customWidth="1"/>
    <col min="1561" max="1561" width="10.85546875" style="717"/>
    <col min="1562" max="1562" width="10.140625" style="717" customWidth="1"/>
    <col min="1563" max="1563" width="9.140625" style="717" customWidth="1"/>
    <col min="1564" max="1792" width="10.85546875" style="717"/>
    <col min="1793" max="1793" width="28.7109375" style="717" customWidth="1"/>
    <col min="1794" max="1794" width="8.28515625" style="717" customWidth="1"/>
    <col min="1795" max="1795" width="0" style="717" hidden="1" customWidth="1"/>
    <col min="1796" max="1799" width="6.85546875" style="717" customWidth="1"/>
    <col min="1800" max="1800" width="8.85546875" style="717" customWidth="1"/>
    <col min="1801" max="1802" width="9" style="717" customWidth="1"/>
    <col min="1803" max="1803" width="10.140625" style="717" customWidth="1"/>
    <col min="1804" max="1804" width="15.5703125" style="717" customWidth="1"/>
    <col min="1805" max="1805" width="8.5703125" style="717" customWidth="1"/>
    <col min="1806" max="1806" width="11.42578125" style="717" customWidth="1"/>
    <col min="1807" max="1807" width="7.7109375" style="717" customWidth="1"/>
    <col min="1808" max="1809" width="8.28515625" style="717" customWidth="1"/>
    <col min="1810" max="1810" width="9.7109375" style="717" customWidth="1"/>
    <col min="1811" max="1811" width="9.140625" style="717" customWidth="1"/>
    <col min="1812" max="1812" width="9.5703125" style="717" customWidth="1"/>
    <col min="1813" max="1813" width="6.7109375" style="717" customWidth="1"/>
    <col min="1814" max="1814" width="8.7109375" style="717" customWidth="1"/>
    <col min="1815" max="1815" width="9.140625" style="717" customWidth="1"/>
    <col min="1816" max="1816" width="9.7109375" style="717" customWidth="1"/>
    <col min="1817" max="1817" width="10.85546875" style="717"/>
    <col min="1818" max="1818" width="10.140625" style="717" customWidth="1"/>
    <col min="1819" max="1819" width="9.140625" style="717" customWidth="1"/>
    <col min="1820" max="2048" width="10.85546875" style="717"/>
    <col min="2049" max="2049" width="28.7109375" style="717" customWidth="1"/>
    <col min="2050" max="2050" width="8.28515625" style="717" customWidth="1"/>
    <col min="2051" max="2051" width="0" style="717" hidden="1" customWidth="1"/>
    <col min="2052" max="2055" width="6.85546875" style="717" customWidth="1"/>
    <col min="2056" max="2056" width="8.85546875" style="717" customWidth="1"/>
    <col min="2057" max="2058" width="9" style="717" customWidth="1"/>
    <col min="2059" max="2059" width="10.140625" style="717" customWidth="1"/>
    <col min="2060" max="2060" width="15.5703125" style="717" customWidth="1"/>
    <col min="2061" max="2061" width="8.5703125" style="717" customWidth="1"/>
    <col min="2062" max="2062" width="11.42578125" style="717" customWidth="1"/>
    <col min="2063" max="2063" width="7.7109375" style="717" customWidth="1"/>
    <col min="2064" max="2065" width="8.28515625" style="717" customWidth="1"/>
    <col min="2066" max="2066" width="9.7109375" style="717" customWidth="1"/>
    <col min="2067" max="2067" width="9.140625" style="717" customWidth="1"/>
    <col min="2068" max="2068" width="9.5703125" style="717" customWidth="1"/>
    <col min="2069" max="2069" width="6.7109375" style="717" customWidth="1"/>
    <col min="2070" max="2070" width="8.7109375" style="717" customWidth="1"/>
    <col min="2071" max="2071" width="9.140625" style="717" customWidth="1"/>
    <col min="2072" max="2072" width="9.7109375" style="717" customWidth="1"/>
    <col min="2073" max="2073" width="10.85546875" style="717"/>
    <col min="2074" max="2074" width="10.140625" style="717" customWidth="1"/>
    <col min="2075" max="2075" width="9.140625" style="717" customWidth="1"/>
    <col min="2076" max="2304" width="10.85546875" style="717"/>
    <col min="2305" max="2305" width="28.7109375" style="717" customWidth="1"/>
    <col min="2306" max="2306" width="8.28515625" style="717" customWidth="1"/>
    <col min="2307" max="2307" width="0" style="717" hidden="1" customWidth="1"/>
    <col min="2308" max="2311" width="6.85546875" style="717" customWidth="1"/>
    <col min="2312" max="2312" width="8.85546875" style="717" customWidth="1"/>
    <col min="2313" max="2314" width="9" style="717" customWidth="1"/>
    <col min="2315" max="2315" width="10.140625" style="717" customWidth="1"/>
    <col min="2316" max="2316" width="15.5703125" style="717" customWidth="1"/>
    <col min="2317" max="2317" width="8.5703125" style="717" customWidth="1"/>
    <col min="2318" max="2318" width="11.42578125" style="717" customWidth="1"/>
    <col min="2319" max="2319" width="7.7109375" style="717" customWidth="1"/>
    <col min="2320" max="2321" width="8.28515625" style="717" customWidth="1"/>
    <col min="2322" max="2322" width="9.7109375" style="717" customWidth="1"/>
    <col min="2323" max="2323" width="9.140625" style="717" customWidth="1"/>
    <col min="2324" max="2324" width="9.5703125" style="717" customWidth="1"/>
    <col min="2325" max="2325" width="6.7109375" style="717" customWidth="1"/>
    <col min="2326" max="2326" width="8.7109375" style="717" customWidth="1"/>
    <col min="2327" max="2327" width="9.140625" style="717" customWidth="1"/>
    <col min="2328" max="2328" width="9.7109375" style="717" customWidth="1"/>
    <col min="2329" max="2329" width="10.85546875" style="717"/>
    <col min="2330" max="2330" width="10.140625" style="717" customWidth="1"/>
    <col min="2331" max="2331" width="9.140625" style="717" customWidth="1"/>
    <col min="2332" max="2560" width="10.85546875" style="717"/>
    <col min="2561" max="2561" width="28.7109375" style="717" customWidth="1"/>
    <col min="2562" max="2562" width="8.28515625" style="717" customWidth="1"/>
    <col min="2563" max="2563" width="0" style="717" hidden="1" customWidth="1"/>
    <col min="2564" max="2567" width="6.85546875" style="717" customWidth="1"/>
    <col min="2568" max="2568" width="8.85546875" style="717" customWidth="1"/>
    <col min="2569" max="2570" width="9" style="717" customWidth="1"/>
    <col min="2571" max="2571" width="10.140625" style="717" customWidth="1"/>
    <col min="2572" max="2572" width="15.5703125" style="717" customWidth="1"/>
    <col min="2573" max="2573" width="8.5703125" style="717" customWidth="1"/>
    <col min="2574" max="2574" width="11.42578125" style="717" customWidth="1"/>
    <col min="2575" max="2575" width="7.7109375" style="717" customWidth="1"/>
    <col min="2576" max="2577" width="8.28515625" style="717" customWidth="1"/>
    <col min="2578" max="2578" width="9.7109375" style="717" customWidth="1"/>
    <col min="2579" max="2579" width="9.140625" style="717" customWidth="1"/>
    <col min="2580" max="2580" width="9.5703125" style="717" customWidth="1"/>
    <col min="2581" max="2581" width="6.7109375" style="717" customWidth="1"/>
    <col min="2582" max="2582" width="8.7109375" style="717" customWidth="1"/>
    <col min="2583" max="2583" width="9.140625" style="717" customWidth="1"/>
    <col min="2584" max="2584" width="9.7109375" style="717" customWidth="1"/>
    <col min="2585" max="2585" width="10.85546875" style="717"/>
    <col min="2586" max="2586" width="10.140625" style="717" customWidth="1"/>
    <col min="2587" max="2587" width="9.140625" style="717" customWidth="1"/>
    <col min="2588" max="2816" width="10.85546875" style="717"/>
    <col min="2817" max="2817" width="28.7109375" style="717" customWidth="1"/>
    <col min="2818" max="2818" width="8.28515625" style="717" customWidth="1"/>
    <col min="2819" max="2819" width="0" style="717" hidden="1" customWidth="1"/>
    <col min="2820" max="2823" width="6.85546875" style="717" customWidth="1"/>
    <col min="2824" max="2824" width="8.85546875" style="717" customWidth="1"/>
    <col min="2825" max="2826" width="9" style="717" customWidth="1"/>
    <col min="2827" max="2827" width="10.140625" style="717" customWidth="1"/>
    <col min="2828" max="2828" width="15.5703125" style="717" customWidth="1"/>
    <col min="2829" max="2829" width="8.5703125" style="717" customWidth="1"/>
    <col min="2830" max="2830" width="11.42578125" style="717" customWidth="1"/>
    <col min="2831" max="2831" width="7.7109375" style="717" customWidth="1"/>
    <col min="2832" max="2833" width="8.28515625" style="717" customWidth="1"/>
    <col min="2834" max="2834" width="9.7109375" style="717" customWidth="1"/>
    <col min="2835" max="2835" width="9.140625" style="717" customWidth="1"/>
    <col min="2836" max="2836" width="9.5703125" style="717" customWidth="1"/>
    <col min="2837" max="2837" width="6.7109375" style="717" customWidth="1"/>
    <col min="2838" max="2838" width="8.7109375" style="717" customWidth="1"/>
    <col min="2839" max="2839" width="9.140625" style="717" customWidth="1"/>
    <col min="2840" max="2840" width="9.7109375" style="717" customWidth="1"/>
    <col min="2841" max="2841" width="10.85546875" style="717"/>
    <col min="2842" max="2842" width="10.140625" style="717" customWidth="1"/>
    <col min="2843" max="2843" width="9.140625" style="717" customWidth="1"/>
    <col min="2844" max="3072" width="10.85546875" style="717"/>
    <col min="3073" max="3073" width="28.7109375" style="717" customWidth="1"/>
    <col min="3074" max="3074" width="8.28515625" style="717" customWidth="1"/>
    <col min="3075" max="3075" width="0" style="717" hidden="1" customWidth="1"/>
    <col min="3076" max="3079" width="6.85546875" style="717" customWidth="1"/>
    <col min="3080" max="3080" width="8.85546875" style="717" customWidth="1"/>
    <col min="3081" max="3082" width="9" style="717" customWidth="1"/>
    <col min="3083" max="3083" width="10.140625" style="717" customWidth="1"/>
    <col min="3084" max="3084" width="15.5703125" style="717" customWidth="1"/>
    <col min="3085" max="3085" width="8.5703125" style="717" customWidth="1"/>
    <col min="3086" max="3086" width="11.42578125" style="717" customWidth="1"/>
    <col min="3087" max="3087" width="7.7109375" style="717" customWidth="1"/>
    <col min="3088" max="3089" width="8.28515625" style="717" customWidth="1"/>
    <col min="3090" max="3090" width="9.7109375" style="717" customWidth="1"/>
    <col min="3091" max="3091" width="9.140625" style="717" customWidth="1"/>
    <col min="3092" max="3092" width="9.5703125" style="717" customWidth="1"/>
    <col min="3093" max="3093" width="6.7109375" style="717" customWidth="1"/>
    <col min="3094" max="3094" width="8.7109375" style="717" customWidth="1"/>
    <col min="3095" max="3095" width="9.140625" style="717" customWidth="1"/>
    <col min="3096" max="3096" width="9.7109375" style="717" customWidth="1"/>
    <col min="3097" max="3097" width="10.85546875" style="717"/>
    <col min="3098" max="3098" width="10.140625" style="717" customWidth="1"/>
    <col min="3099" max="3099" width="9.140625" style="717" customWidth="1"/>
    <col min="3100" max="3328" width="10.85546875" style="717"/>
    <col min="3329" max="3329" width="28.7109375" style="717" customWidth="1"/>
    <col min="3330" max="3330" width="8.28515625" style="717" customWidth="1"/>
    <col min="3331" max="3331" width="0" style="717" hidden="1" customWidth="1"/>
    <col min="3332" max="3335" width="6.85546875" style="717" customWidth="1"/>
    <col min="3336" max="3336" width="8.85546875" style="717" customWidth="1"/>
    <col min="3337" max="3338" width="9" style="717" customWidth="1"/>
    <col min="3339" max="3339" width="10.140625" style="717" customWidth="1"/>
    <col min="3340" max="3340" width="15.5703125" style="717" customWidth="1"/>
    <col min="3341" max="3341" width="8.5703125" style="717" customWidth="1"/>
    <col min="3342" max="3342" width="11.42578125" style="717" customWidth="1"/>
    <col min="3343" max="3343" width="7.7109375" style="717" customWidth="1"/>
    <col min="3344" max="3345" width="8.28515625" style="717" customWidth="1"/>
    <col min="3346" max="3346" width="9.7109375" style="717" customWidth="1"/>
    <col min="3347" max="3347" width="9.140625" style="717" customWidth="1"/>
    <col min="3348" max="3348" width="9.5703125" style="717" customWidth="1"/>
    <col min="3349" max="3349" width="6.7109375" style="717" customWidth="1"/>
    <col min="3350" max="3350" width="8.7109375" style="717" customWidth="1"/>
    <col min="3351" max="3351" width="9.140625" style="717" customWidth="1"/>
    <col min="3352" max="3352" width="9.7109375" style="717" customWidth="1"/>
    <col min="3353" max="3353" width="10.85546875" style="717"/>
    <col min="3354" max="3354" width="10.140625" style="717" customWidth="1"/>
    <col min="3355" max="3355" width="9.140625" style="717" customWidth="1"/>
    <col min="3356" max="3584" width="10.85546875" style="717"/>
    <col min="3585" max="3585" width="28.7109375" style="717" customWidth="1"/>
    <col min="3586" max="3586" width="8.28515625" style="717" customWidth="1"/>
    <col min="3587" max="3587" width="0" style="717" hidden="1" customWidth="1"/>
    <col min="3588" max="3591" width="6.85546875" style="717" customWidth="1"/>
    <col min="3592" max="3592" width="8.85546875" style="717" customWidth="1"/>
    <col min="3593" max="3594" width="9" style="717" customWidth="1"/>
    <col min="3595" max="3595" width="10.140625" style="717" customWidth="1"/>
    <col min="3596" max="3596" width="15.5703125" style="717" customWidth="1"/>
    <col min="3597" max="3597" width="8.5703125" style="717" customWidth="1"/>
    <col min="3598" max="3598" width="11.42578125" style="717" customWidth="1"/>
    <col min="3599" max="3599" width="7.7109375" style="717" customWidth="1"/>
    <col min="3600" max="3601" width="8.28515625" style="717" customWidth="1"/>
    <col min="3602" max="3602" width="9.7109375" style="717" customWidth="1"/>
    <col min="3603" max="3603" width="9.140625" style="717" customWidth="1"/>
    <col min="3604" max="3604" width="9.5703125" style="717" customWidth="1"/>
    <col min="3605" max="3605" width="6.7109375" style="717" customWidth="1"/>
    <col min="3606" max="3606" width="8.7109375" style="717" customWidth="1"/>
    <col min="3607" max="3607" width="9.140625" style="717" customWidth="1"/>
    <col min="3608" max="3608" width="9.7109375" style="717" customWidth="1"/>
    <col min="3609" max="3609" width="10.85546875" style="717"/>
    <col min="3610" max="3610" width="10.140625" style="717" customWidth="1"/>
    <col min="3611" max="3611" width="9.140625" style="717" customWidth="1"/>
    <col min="3612" max="3840" width="10.85546875" style="717"/>
    <col min="3841" max="3841" width="28.7109375" style="717" customWidth="1"/>
    <col min="3842" max="3842" width="8.28515625" style="717" customWidth="1"/>
    <col min="3843" max="3843" width="0" style="717" hidden="1" customWidth="1"/>
    <col min="3844" max="3847" width="6.85546875" style="717" customWidth="1"/>
    <col min="3848" max="3848" width="8.85546875" style="717" customWidth="1"/>
    <col min="3849" max="3850" width="9" style="717" customWidth="1"/>
    <col min="3851" max="3851" width="10.140625" style="717" customWidth="1"/>
    <col min="3852" max="3852" width="15.5703125" style="717" customWidth="1"/>
    <col min="3853" max="3853" width="8.5703125" style="717" customWidth="1"/>
    <col min="3854" max="3854" width="11.42578125" style="717" customWidth="1"/>
    <col min="3855" max="3855" width="7.7109375" style="717" customWidth="1"/>
    <col min="3856" max="3857" width="8.28515625" style="717" customWidth="1"/>
    <col min="3858" max="3858" width="9.7109375" style="717" customWidth="1"/>
    <col min="3859" max="3859" width="9.140625" style="717" customWidth="1"/>
    <col min="3860" max="3860" width="9.5703125" style="717" customWidth="1"/>
    <col min="3861" max="3861" width="6.7109375" style="717" customWidth="1"/>
    <col min="3862" max="3862" width="8.7109375" style="717" customWidth="1"/>
    <col min="3863" max="3863" width="9.140625" style="717" customWidth="1"/>
    <col min="3864" max="3864" width="9.7109375" style="717" customWidth="1"/>
    <col min="3865" max="3865" width="10.85546875" style="717"/>
    <col min="3866" max="3866" width="10.140625" style="717" customWidth="1"/>
    <col min="3867" max="3867" width="9.140625" style="717" customWidth="1"/>
    <col min="3868" max="4096" width="10.85546875" style="717"/>
    <col min="4097" max="4097" width="28.7109375" style="717" customWidth="1"/>
    <col min="4098" max="4098" width="8.28515625" style="717" customWidth="1"/>
    <col min="4099" max="4099" width="0" style="717" hidden="1" customWidth="1"/>
    <col min="4100" max="4103" width="6.85546875" style="717" customWidth="1"/>
    <col min="4104" max="4104" width="8.85546875" style="717" customWidth="1"/>
    <col min="4105" max="4106" width="9" style="717" customWidth="1"/>
    <col min="4107" max="4107" width="10.140625" style="717" customWidth="1"/>
    <col min="4108" max="4108" width="15.5703125" style="717" customWidth="1"/>
    <col min="4109" max="4109" width="8.5703125" style="717" customWidth="1"/>
    <col min="4110" max="4110" width="11.42578125" style="717" customWidth="1"/>
    <col min="4111" max="4111" width="7.7109375" style="717" customWidth="1"/>
    <col min="4112" max="4113" width="8.28515625" style="717" customWidth="1"/>
    <col min="4114" max="4114" width="9.7109375" style="717" customWidth="1"/>
    <col min="4115" max="4115" width="9.140625" style="717" customWidth="1"/>
    <col min="4116" max="4116" width="9.5703125" style="717" customWidth="1"/>
    <col min="4117" max="4117" width="6.7109375" style="717" customWidth="1"/>
    <col min="4118" max="4118" width="8.7109375" style="717" customWidth="1"/>
    <col min="4119" max="4119" width="9.140625" style="717" customWidth="1"/>
    <col min="4120" max="4120" width="9.7109375" style="717" customWidth="1"/>
    <col min="4121" max="4121" width="10.85546875" style="717"/>
    <col min="4122" max="4122" width="10.140625" style="717" customWidth="1"/>
    <col min="4123" max="4123" width="9.140625" style="717" customWidth="1"/>
    <col min="4124" max="4352" width="10.85546875" style="717"/>
    <col min="4353" max="4353" width="28.7109375" style="717" customWidth="1"/>
    <col min="4354" max="4354" width="8.28515625" style="717" customWidth="1"/>
    <col min="4355" max="4355" width="0" style="717" hidden="1" customWidth="1"/>
    <col min="4356" max="4359" width="6.85546875" style="717" customWidth="1"/>
    <col min="4360" max="4360" width="8.85546875" style="717" customWidth="1"/>
    <col min="4361" max="4362" width="9" style="717" customWidth="1"/>
    <col min="4363" max="4363" width="10.140625" style="717" customWidth="1"/>
    <col min="4364" max="4364" width="15.5703125" style="717" customWidth="1"/>
    <col min="4365" max="4365" width="8.5703125" style="717" customWidth="1"/>
    <col min="4366" max="4366" width="11.42578125" style="717" customWidth="1"/>
    <col min="4367" max="4367" width="7.7109375" style="717" customWidth="1"/>
    <col min="4368" max="4369" width="8.28515625" style="717" customWidth="1"/>
    <col min="4370" max="4370" width="9.7109375" style="717" customWidth="1"/>
    <col min="4371" max="4371" width="9.140625" style="717" customWidth="1"/>
    <col min="4372" max="4372" width="9.5703125" style="717" customWidth="1"/>
    <col min="4373" max="4373" width="6.7109375" style="717" customWidth="1"/>
    <col min="4374" max="4374" width="8.7109375" style="717" customWidth="1"/>
    <col min="4375" max="4375" width="9.140625" style="717" customWidth="1"/>
    <col min="4376" max="4376" width="9.7109375" style="717" customWidth="1"/>
    <col min="4377" max="4377" width="10.85546875" style="717"/>
    <col min="4378" max="4378" width="10.140625" style="717" customWidth="1"/>
    <col min="4379" max="4379" width="9.140625" style="717" customWidth="1"/>
    <col min="4380" max="4608" width="10.85546875" style="717"/>
    <col min="4609" max="4609" width="28.7109375" style="717" customWidth="1"/>
    <col min="4610" max="4610" width="8.28515625" style="717" customWidth="1"/>
    <col min="4611" max="4611" width="0" style="717" hidden="1" customWidth="1"/>
    <col min="4612" max="4615" width="6.85546875" style="717" customWidth="1"/>
    <col min="4616" max="4616" width="8.85546875" style="717" customWidth="1"/>
    <col min="4617" max="4618" width="9" style="717" customWidth="1"/>
    <col min="4619" max="4619" width="10.140625" style="717" customWidth="1"/>
    <col min="4620" max="4620" width="15.5703125" style="717" customWidth="1"/>
    <col min="4621" max="4621" width="8.5703125" style="717" customWidth="1"/>
    <col min="4622" max="4622" width="11.42578125" style="717" customWidth="1"/>
    <col min="4623" max="4623" width="7.7109375" style="717" customWidth="1"/>
    <col min="4624" max="4625" width="8.28515625" style="717" customWidth="1"/>
    <col min="4626" max="4626" width="9.7109375" style="717" customWidth="1"/>
    <col min="4627" max="4627" width="9.140625" style="717" customWidth="1"/>
    <col min="4628" max="4628" width="9.5703125" style="717" customWidth="1"/>
    <col min="4629" max="4629" width="6.7109375" style="717" customWidth="1"/>
    <col min="4630" max="4630" width="8.7109375" style="717" customWidth="1"/>
    <col min="4631" max="4631" width="9.140625" style="717" customWidth="1"/>
    <col min="4632" max="4632" width="9.7109375" style="717" customWidth="1"/>
    <col min="4633" max="4633" width="10.85546875" style="717"/>
    <col min="4634" max="4634" width="10.140625" style="717" customWidth="1"/>
    <col min="4635" max="4635" width="9.140625" style="717" customWidth="1"/>
    <col min="4636" max="4864" width="10.85546875" style="717"/>
    <col min="4865" max="4865" width="28.7109375" style="717" customWidth="1"/>
    <col min="4866" max="4866" width="8.28515625" style="717" customWidth="1"/>
    <col min="4867" max="4867" width="0" style="717" hidden="1" customWidth="1"/>
    <col min="4868" max="4871" width="6.85546875" style="717" customWidth="1"/>
    <col min="4872" max="4872" width="8.85546875" style="717" customWidth="1"/>
    <col min="4873" max="4874" width="9" style="717" customWidth="1"/>
    <col min="4875" max="4875" width="10.140625" style="717" customWidth="1"/>
    <col min="4876" max="4876" width="15.5703125" style="717" customWidth="1"/>
    <col min="4877" max="4877" width="8.5703125" style="717" customWidth="1"/>
    <col min="4878" max="4878" width="11.42578125" style="717" customWidth="1"/>
    <col min="4879" max="4879" width="7.7109375" style="717" customWidth="1"/>
    <col min="4880" max="4881" width="8.28515625" style="717" customWidth="1"/>
    <col min="4882" max="4882" width="9.7109375" style="717" customWidth="1"/>
    <col min="4883" max="4883" width="9.140625" style="717" customWidth="1"/>
    <col min="4884" max="4884" width="9.5703125" style="717" customWidth="1"/>
    <col min="4885" max="4885" width="6.7109375" style="717" customWidth="1"/>
    <col min="4886" max="4886" width="8.7109375" style="717" customWidth="1"/>
    <col min="4887" max="4887" width="9.140625" style="717" customWidth="1"/>
    <col min="4888" max="4888" width="9.7109375" style="717" customWidth="1"/>
    <col min="4889" max="4889" width="10.85546875" style="717"/>
    <col min="4890" max="4890" width="10.140625" style="717" customWidth="1"/>
    <col min="4891" max="4891" width="9.140625" style="717" customWidth="1"/>
    <col min="4892" max="5120" width="10.85546875" style="717"/>
    <col min="5121" max="5121" width="28.7109375" style="717" customWidth="1"/>
    <col min="5122" max="5122" width="8.28515625" style="717" customWidth="1"/>
    <col min="5123" max="5123" width="0" style="717" hidden="1" customWidth="1"/>
    <col min="5124" max="5127" width="6.85546875" style="717" customWidth="1"/>
    <col min="5128" max="5128" width="8.85546875" style="717" customWidth="1"/>
    <col min="5129" max="5130" width="9" style="717" customWidth="1"/>
    <col min="5131" max="5131" width="10.140625" style="717" customWidth="1"/>
    <col min="5132" max="5132" width="15.5703125" style="717" customWidth="1"/>
    <col min="5133" max="5133" width="8.5703125" style="717" customWidth="1"/>
    <col min="5134" max="5134" width="11.42578125" style="717" customWidth="1"/>
    <col min="5135" max="5135" width="7.7109375" style="717" customWidth="1"/>
    <col min="5136" max="5137" width="8.28515625" style="717" customWidth="1"/>
    <col min="5138" max="5138" width="9.7109375" style="717" customWidth="1"/>
    <col min="5139" max="5139" width="9.140625" style="717" customWidth="1"/>
    <col min="5140" max="5140" width="9.5703125" style="717" customWidth="1"/>
    <col min="5141" max="5141" width="6.7109375" style="717" customWidth="1"/>
    <col min="5142" max="5142" width="8.7109375" style="717" customWidth="1"/>
    <col min="5143" max="5143" width="9.140625" style="717" customWidth="1"/>
    <col min="5144" max="5144" width="9.7109375" style="717" customWidth="1"/>
    <col min="5145" max="5145" width="10.85546875" style="717"/>
    <col min="5146" max="5146" width="10.140625" style="717" customWidth="1"/>
    <col min="5147" max="5147" width="9.140625" style="717" customWidth="1"/>
    <col min="5148" max="5376" width="10.85546875" style="717"/>
    <col min="5377" max="5377" width="28.7109375" style="717" customWidth="1"/>
    <col min="5378" max="5378" width="8.28515625" style="717" customWidth="1"/>
    <col min="5379" max="5379" width="0" style="717" hidden="1" customWidth="1"/>
    <col min="5380" max="5383" width="6.85546875" style="717" customWidth="1"/>
    <col min="5384" max="5384" width="8.85546875" style="717" customWidth="1"/>
    <col min="5385" max="5386" width="9" style="717" customWidth="1"/>
    <col min="5387" max="5387" width="10.140625" style="717" customWidth="1"/>
    <col min="5388" max="5388" width="15.5703125" style="717" customWidth="1"/>
    <col min="5389" max="5389" width="8.5703125" style="717" customWidth="1"/>
    <col min="5390" max="5390" width="11.42578125" style="717" customWidth="1"/>
    <col min="5391" max="5391" width="7.7109375" style="717" customWidth="1"/>
    <col min="5392" max="5393" width="8.28515625" style="717" customWidth="1"/>
    <col min="5394" max="5394" width="9.7109375" style="717" customWidth="1"/>
    <col min="5395" max="5395" width="9.140625" style="717" customWidth="1"/>
    <col min="5396" max="5396" width="9.5703125" style="717" customWidth="1"/>
    <col min="5397" max="5397" width="6.7109375" style="717" customWidth="1"/>
    <col min="5398" max="5398" width="8.7109375" style="717" customWidth="1"/>
    <col min="5399" max="5399" width="9.140625" style="717" customWidth="1"/>
    <col min="5400" max="5400" width="9.7109375" style="717" customWidth="1"/>
    <col min="5401" max="5401" width="10.85546875" style="717"/>
    <col min="5402" max="5402" width="10.140625" style="717" customWidth="1"/>
    <col min="5403" max="5403" width="9.140625" style="717" customWidth="1"/>
    <col min="5404" max="5632" width="10.85546875" style="717"/>
    <col min="5633" max="5633" width="28.7109375" style="717" customWidth="1"/>
    <col min="5634" max="5634" width="8.28515625" style="717" customWidth="1"/>
    <col min="5635" max="5635" width="0" style="717" hidden="1" customWidth="1"/>
    <col min="5636" max="5639" width="6.85546875" style="717" customWidth="1"/>
    <col min="5640" max="5640" width="8.85546875" style="717" customWidth="1"/>
    <col min="5641" max="5642" width="9" style="717" customWidth="1"/>
    <col min="5643" max="5643" width="10.140625" style="717" customWidth="1"/>
    <col min="5644" max="5644" width="15.5703125" style="717" customWidth="1"/>
    <col min="5645" max="5645" width="8.5703125" style="717" customWidth="1"/>
    <col min="5646" max="5646" width="11.42578125" style="717" customWidth="1"/>
    <col min="5647" max="5647" width="7.7109375" style="717" customWidth="1"/>
    <col min="5648" max="5649" width="8.28515625" style="717" customWidth="1"/>
    <col min="5650" max="5650" width="9.7109375" style="717" customWidth="1"/>
    <col min="5651" max="5651" width="9.140625" style="717" customWidth="1"/>
    <col min="5652" max="5652" width="9.5703125" style="717" customWidth="1"/>
    <col min="5653" max="5653" width="6.7109375" style="717" customWidth="1"/>
    <col min="5654" max="5654" width="8.7109375" style="717" customWidth="1"/>
    <col min="5655" max="5655" width="9.140625" style="717" customWidth="1"/>
    <col min="5656" max="5656" width="9.7109375" style="717" customWidth="1"/>
    <col min="5657" max="5657" width="10.85546875" style="717"/>
    <col min="5658" max="5658" width="10.140625" style="717" customWidth="1"/>
    <col min="5659" max="5659" width="9.140625" style="717" customWidth="1"/>
    <col min="5660" max="5888" width="10.85546875" style="717"/>
    <col min="5889" max="5889" width="28.7109375" style="717" customWidth="1"/>
    <col min="5890" max="5890" width="8.28515625" style="717" customWidth="1"/>
    <col min="5891" max="5891" width="0" style="717" hidden="1" customWidth="1"/>
    <col min="5892" max="5895" width="6.85546875" style="717" customWidth="1"/>
    <col min="5896" max="5896" width="8.85546875" style="717" customWidth="1"/>
    <col min="5897" max="5898" width="9" style="717" customWidth="1"/>
    <col min="5899" max="5899" width="10.140625" style="717" customWidth="1"/>
    <col min="5900" max="5900" width="15.5703125" style="717" customWidth="1"/>
    <col min="5901" max="5901" width="8.5703125" style="717" customWidth="1"/>
    <col min="5902" max="5902" width="11.42578125" style="717" customWidth="1"/>
    <col min="5903" max="5903" width="7.7109375" style="717" customWidth="1"/>
    <col min="5904" max="5905" width="8.28515625" style="717" customWidth="1"/>
    <col min="5906" max="5906" width="9.7109375" style="717" customWidth="1"/>
    <col min="5907" max="5907" width="9.140625" style="717" customWidth="1"/>
    <col min="5908" max="5908" width="9.5703125" style="717" customWidth="1"/>
    <col min="5909" max="5909" width="6.7109375" style="717" customWidth="1"/>
    <col min="5910" max="5910" width="8.7109375" style="717" customWidth="1"/>
    <col min="5911" max="5911" width="9.140625" style="717" customWidth="1"/>
    <col min="5912" max="5912" width="9.7109375" style="717" customWidth="1"/>
    <col min="5913" max="5913" width="10.85546875" style="717"/>
    <col min="5914" max="5914" width="10.140625" style="717" customWidth="1"/>
    <col min="5915" max="5915" width="9.140625" style="717" customWidth="1"/>
    <col min="5916" max="6144" width="10.85546875" style="717"/>
    <col min="6145" max="6145" width="28.7109375" style="717" customWidth="1"/>
    <col min="6146" max="6146" width="8.28515625" style="717" customWidth="1"/>
    <col min="6147" max="6147" width="0" style="717" hidden="1" customWidth="1"/>
    <col min="6148" max="6151" width="6.85546875" style="717" customWidth="1"/>
    <col min="6152" max="6152" width="8.85546875" style="717" customWidth="1"/>
    <col min="6153" max="6154" width="9" style="717" customWidth="1"/>
    <col min="6155" max="6155" width="10.140625" style="717" customWidth="1"/>
    <col min="6156" max="6156" width="15.5703125" style="717" customWidth="1"/>
    <col min="6157" max="6157" width="8.5703125" style="717" customWidth="1"/>
    <col min="6158" max="6158" width="11.42578125" style="717" customWidth="1"/>
    <col min="6159" max="6159" width="7.7109375" style="717" customWidth="1"/>
    <col min="6160" max="6161" width="8.28515625" style="717" customWidth="1"/>
    <col min="6162" max="6162" width="9.7109375" style="717" customWidth="1"/>
    <col min="6163" max="6163" width="9.140625" style="717" customWidth="1"/>
    <col min="6164" max="6164" width="9.5703125" style="717" customWidth="1"/>
    <col min="6165" max="6165" width="6.7109375" style="717" customWidth="1"/>
    <col min="6166" max="6166" width="8.7109375" style="717" customWidth="1"/>
    <col min="6167" max="6167" width="9.140625" style="717" customWidth="1"/>
    <col min="6168" max="6168" width="9.7109375" style="717" customWidth="1"/>
    <col min="6169" max="6169" width="10.85546875" style="717"/>
    <col min="6170" max="6170" width="10.140625" style="717" customWidth="1"/>
    <col min="6171" max="6171" width="9.140625" style="717" customWidth="1"/>
    <col min="6172" max="6400" width="10.85546875" style="717"/>
    <col min="6401" max="6401" width="28.7109375" style="717" customWidth="1"/>
    <col min="6402" max="6402" width="8.28515625" style="717" customWidth="1"/>
    <col min="6403" max="6403" width="0" style="717" hidden="1" customWidth="1"/>
    <col min="6404" max="6407" width="6.85546875" style="717" customWidth="1"/>
    <col min="6408" max="6408" width="8.85546875" style="717" customWidth="1"/>
    <col min="6409" max="6410" width="9" style="717" customWidth="1"/>
    <col min="6411" max="6411" width="10.140625" style="717" customWidth="1"/>
    <col min="6412" max="6412" width="15.5703125" style="717" customWidth="1"/>
    <col min="6413" max="6413" width="8.5703125" style="717" customWidth="1"/>
    <col min="6414" max="6414" width="11.42578125" style="717" customWidth="1"/>
    <col min="6415" max="6415" width="7.7109375" style="717" customWidth="1"/>
    <col min="6416" max="6417" width="8.28515625" style="717" customWidth="1"/>
    <col min="6418" max="6418" width="9.7109375" style="717" customWidth="1"/>
    <col min="6419" max="6419" width="9.140625" style="717" customWidth="1"/>
    <col min="6420" max="6420" width="9.5703125" style="717" customWidth="1"/>
    <col min="6421" max="6421" width="6.7109375" style="717" customWidth="1"/>
    <col min="6422" max="6422" width="8.7109375" style="717" customWidth="1"/>
    <col min="6423" max="6423" width="9.140625" style="717" customWidth="1"/>
    <col min="6424" max="6424" width="9.7109375" style="717" customWidth="1"/>
    <col min="6425" max="6425" width="10.85546875" style="717"/>
    <col min="6426" max="6426" width="10.140625" style="717" customWidth="1"/>
    <col min="6427" max="6427" width="9.140625" style="717" customWidth="1"/>
    <col min="6428" max="6656" width="10.85546875" style="717"/>
    <col min="6657" max="6657" width="28.7109375" style="717" customWidth="1"/>
    <col min="6658" max="6658" width="8.28515625" style="717" customWidth="1"/>
    <col min="6659" max="6659" width="0" style="717" hidden="1" customWidth="1"/>
    <col min="6660" max="6663" width="6.85546875" style="717" customWidth="1"/>
    <col min="6664" max="6664" width="8.85546875" style="717" customWidth="1"/>
    <col min="6665" max="6666" width="9" style="717" customWidth="1"/>
    <col min="6667" max="6667" width="10.140625" style="717" customWidth="1"/>
    <col min="6668" max="6668" width="15.5703125" style="717" customWidth="1"/>
    <col min="6669" max="6669" width="8.5703125" style="717" customWidth="1"/>
    <col min="6670" max="6670" width="11.42578125" style="717" customWidth="1"/>
    <col min="6671" max="6671" width="7.7109375" style="717" customWidth="1"/>
    <col min="6672" max="6673" width="8.28515625" style="717" customWidth="1"/>
    <col min="6674" max="6674" width="9.7109375" style="717" customWidth="1"/>
    <col min="6675" max="6675" width="9.140625" style="717" customWidth="1"/>
    <col min="6676" max="6676" width="9.5703125" style="717" customWidth="1"/>
    <col min="6677" max="6677" width="6.7109375" style="717" customWidth="1"/>
    <col min="6678" max="6678" width="8.7109375" style="717" customWidth="1"/>
    <col min="6679" max="6679" width="9.140625" style="717" customWidth="1"/>
    <col min="6680" max="6680" width="9.7109375" style="717" customWidth="1"/>
    <col min="6681" max="6681" width="10.85546875" style="717"/>
    <col min="6682" max="6682" width="10.140625" style="717" customWidth="1"/>
    <col min="6683" max="6683" width="9.140625" style="717" customWidth="1"/>
    <col min="6684" max="6912" width="10.85546875" style="717"/>
    <col min="6913" max="6913" width="28.7109375" style="717" customWidth="1"/>
    <col min="6914" max="6914" width="8.28515625" style="717" customWidth="1"/>
    <col min="6915" max="6915" width="0" style="717" hidden="1" customWidth="1"/>
    <col min="6916" max="6919" width="6.85546875" style="717" customWidth="1"/>
    <col min="6920" max="6920" width="8.85546875" style="717" customWidth="1"/>
    <col min="6921" max="6922" width="9" style="717" customWidth="1"/>
    <col min="6923" max="6923" width="10.140625" style="717" customWidth="1"/>
    <col min="6924" max="6924" width="15.5703125" style="717" customWidth="1"/>
    <col min="6925" max="6925" width="8.5703125" style="717" customWidth="1"/>
    <col min="6926" max="6926" width="11.42578125" style="717" customWidth="1"/>
    <col min="6927" max="6927" width="7.7109375" style="717" customWidth="1"/>
    <col min="6928" max="6929" width="8.28515625" style="717" customWidth="1"/>
    <col min="6930" max="6930" width="9.7109375" style="717" customWidth="1"/>
    <col min="6931" max="6931" width="9.140625" style="717" customWidth="1"/>
    <col min="6932" max="6932" width="9.5703125" style="717" customWidth="1"/>
    <col min="6933" max="6933" width="6.7109375" style="717" customWidth="1"/>
    <col min="6934" max="6934" width="8.7109375" style="717" customWidth="1"/>
    <col min="6935" max="6935" width="9.140625" style="717" customWidth="1"/>
    <col min="6936" max="6936" width="9.7109375" style="717" customWidth="1"/>
    <col min="6937" max="6937" width="10.85546875" style="717"/>
    <col min="6938" max="6938" width="10.140625" style="717" customWidth="1"/>
    <col min="6939" max="6939" width="9.140625" style="717" customWidth="1"/>
    <col min="6940" max="7168" width="10.85546875" style="717"/>
    <col min="7169" max="7169" width="28.7109375" style="717" customWidth="1"/>
    <col min="7170" max="7170" width="8.28515625" style="717" customWidth="1"/>
    <col min="7171" max="7171" width="0" style="717" hidden="1" customWidth="1"/>
    <col min="7172" max="7175" width="6.85546875" style="717" customWidth="1"/>
    <col min="7176" max="7176" width="8.85546875" style="717" customWidth="1"/>
    <col min="7177" max="7178" width="9" style="717" customWidth="1"/>
    <col min="7179" max="7179" width="10.140625" style="717" customWidth="1"/>
    <col min="7180" max="7180" width="15.5703125" style="717" customWidth="1"/>
    <col min="7181" max="7181" width="8.5703125" style="717" customWidth="1"/>
    <col min="7182" max="7182" width="11.42578125" style="717" customWidth="1"/>
    <col min="7183" max="7183" width="7.7109375" style="717" customWidth="1"/>
    <col min="7184" max="7185" width="8.28515625" style="717" customWidth="1"/>
    <col min="7186" max="7186" width="9.7109375" style="717" customWidth="1"/>
    <col min="7187" max="7187" width="9.140625" style="717" customWidth="1"/>
    <col min="7188" max="7188" width="9.5703125" style="717" customWidth="1"/>
    <col min="7189" max="7189" width="6.7109375" style="717" customWidth="1"/>
    <col min="7190" max="7190" width="8.7109375" style="717" customWidth="1"/>
    <col min="7191" max="7191" width="9.140625" style="717" customWidth="1"/>
    <col min="7192" max="7192" width="9.7109375" style="717" customWidth="1"/>
    <col min="7193" max="7193" width="10.85546875" style="717"/>
    <col min="7194" max="7194" width="10.140625" style="717" customWidth="1"/>
    <col min="7195" max="7195" width="9.140625" style="717" customWidth="1"/>
    <col min="7196" max="7424" width="10.85546875" style="717"/>
    <col min="7425" max="7425" width="28.7109375" style="717" customWidth="1"/>
    <col min="7426" max="7426" width="8.28515625" style="717" customWidth="1"/>
    <col min="7427" max="7427" width="0" style="717" hidden="1" customWidth="1"/>
    <col min="7428" max="7431" width="6.85546875" style="717" customWidth="1"/>
    <col min="7432" max="7432" width="8.85546875" style="717" customWidth="1"/>
    <col min="7433" max="7434" width="9" style="717" customWidth="1"/>
    <col min="7435" max="7435" width="10.140625" style="717" customWidth="1"/>
    <col min="7436" max="7436" width="15.5703125" style="717" customWidth="1"/>
    <col min="7437" max="7437" width="8.5703125" style="717" customWidth="1"/>
    <col min="7438" max="7438" width="11.42578125" style="717" customWidth="1"/>
    <col min="7439" max="7439" width="7.7109375" style="717" customWidth="1"/>
    <col min="7440" max="7441" width="8.28515625" style="717" customWidth="1"/>
    <col min="7442" max="7442" width="9.7109375" style="717" customWidth="1"/>
    <col min="7443" max="7443" width="9.140625" style="717" customWidth="1"/>
    <col min="7444" max="7444" width="9.5703125" style="717" customWidth="1"/>
    <col min="7445" max="7445" width="6.7109375" style="717" customWidth="1"/>
    <col min="7446" max="7446" width="8.7109375" style="717" customWidth="1"/>
    <col min="7447" max="7447" width="9.140625" style="717" customWidth="1"/>
    <col min="7448" max="7448" width="9.7109375" style="717" customWidth="1"/>
    <col min="7449" max="7449" width="10.85546875" style="717"/>
    <col min="7450" max="7450" width="10.140625" style="717" customWidth="1"/>
    <col min="7451" max="7451" width="9.140625" style="717" customWidth="1"/>
    <col min="7452" max="7680" width="10.85546875" style="717"/>
    <col min="7681" max="7681" width="28.7109375" style="717" customWidth="1"/>
    <col min="7682" max="7682" width="8.28515625" style="717" customWidth="1"/>
    <col min="7683" max="7683" width="0" style="717" hidden="1" customWidth="1"/>
    <col min="7684" max="7687" width="6.85546875" style="717" customWidth="1"/>
    <col min="7688" max="7688" width="8.85546875" style="717" customWidth="1"/>
    <col min="7689" max="7690" width="9" style="717" customWidth="1"/>
    <col min="7691" max="7691" width="10.140625" style="717" customWidth="1"/>
    <col min="7692" max="7692" width="15.5703125" style="717" customWidth="1"/>
    <col min="7693" max="7693" width="8.5703125" style="717" customWidth="1"/>
    <col min="7694" max="7694" width="11.42578125" style="717" customWidth="1"/>
    <col min="7695" max="7695" width="7.7109375" style="717" customWidth="1"/>
    <col min="7696" max="7697" width="8.28515625" style="717" customWidth="1"/>
    <col min="7698" max="7698" width="9.7109375" style="717" customWidth="1"/>
    <col min="7699" max="7699" width="9.140625" style="717" customWidth="1"/>
    <col min="7700" max="7700" width="9.5703125" style="717" customWidth="1"/>
    <col min="7701" max="7701" width="6.7109375" style="717" customWidth="1"/>
    <col min="7702" max="7702" width="8.7109375" style="717" customWidth="1"/>
    <col min="7703" max="7703" width="9.140625" style="717" customWidth="1"/>
    <col min="7704" max="7704" width="9.7109375" style="717" customWidth="1"/>
    <col min="7705" max="7705" width="10.85546875" style="717"/>
    <col min="7706" max="7706" width="10.140625" style="717" customWidth="1"/>
    <col min="7707" max="7707" width="9.140625" style="717" customWidth="1"/>
    <col min="7708" max="7936" width="10.85546875" style="717"/>
    <col min="7937" max="7937" width="28.7109375" style="717" customWidth="1"/>
    <col min="7938" max="7938" width="8.28515625" style="717" customWidth="1"/>
    <col min="7939" max="7939" width="0" style="717" hidden="1" customWidth="1"/>
    <col min="7940" max="7943" width="6.85546875" style="717" customWidth="1"/>
    <col min="7944" max="7944" width="8.85546875" style="717" customWidth="1"/>
    <col min="7945" max="7946" width="9" style="717" customWidth="1"/>
    <col min="7947" max="7947" width="10.140625" style="717" customWidth="1"/>
    <col min="7948" max="7948" width="15.5703125" style="717" customWidth="1"/>
    <col min="7949" max="7949" width="8.5703125" style="717" customWidth="1"/>
    <col min="7950" max="7950" width="11.42578125" style="717" customWidth="1"/>
    <col min="7951" max="7951" width="7.7109375" style="717" customWidth="1"/>
    <col min="7952" max="7953" width="8.28515625" style="717" customWidth="1"/>
    <col min="7954" max="7954" width="9.7109375" style="717" customWidth="1"/>
    <col min="7955" max="7955" width="9.140625" style="717" customWidth="1"/>
    <col min="7956" max="7956" width="9.5703125" style="717" customWidth="1"/>
    <col min="7957" max="7957" width="6.7109375" style="717" customWidth="1"/>
    <col min="7958" max="7958" width="8.7109375" style="717" customWidth="1"/>
    <col min="7959" max="7959" width="9.140625" style="717" customWidth="1"/>
    <col min="7960" max="7960" width="9.7109375" style="717" customWidth="1"/>
    <col min="7961" max="7961" width="10.85546875" style="717"/>
    <col min="7962" max="7962" width="10.140625" style="717" customWidth="1"/>
    <col min="7963" max="7963" width="9.140625" style="717" customWidth="1"/>
    <col min="7964" max="8192" width="10.85546875" style="717"/>
    <col min="8193" max="8193" width="28.7109375" style="717" customWidth="1"/>
    <col min="8194" max="8194" width="8.28515625" style="717" customWidth="1"/>
    <col min="8195" max="8195" width="0" style="717" hidden="1" customWidth="1"/>
    <col min="8196" max="8199" width="6.85546875" style="717" customWidth="1"/>
    <col min="8200" max="8200" width="8.85546875" style="717" customWidth="1"/>
    <col min="8201" max="8202" width="9" style="717" customWidth="1"/>
    <col min="8203" max="8203" width="10.140625" style="717" customWidth="1"/>
    <col min="8204" max="8204" width="15.5703125" style="717" customWidth="1"/>
    <col min="8205" max="8205" width="8.5703125" style="717" customWidth="1"/>
    <col min="8206" max="8206" width="11.42578125" style="717" customWidth="1"/>
    <col min="8207" max="8207" width="7.7109375" style="717" customWidth="1"/>
    <col min="8208" max="8209" width="8.28515625" style="717" customWidth="1"/>
    <col min="8210" max="8210" width="9.7109375" style="717" customWidth="1"/>
    <col min="8211" max="8211" width="9.140625" style="717" customWidth="1"/>
    <col min="8212" max="8212" width="9.5703125" style="717" customWidth="1"/>
    <col min="8213" max="8213" width="6.7109375" style="717" customWidth="1"/>
    <col min="8214" max="8214" width="8.7109375" style="717" customWidth="1"/>
    <col min="8215" max="8215" width="9.140625" style="717" customWidth="1"/>
    <col min="8216" max="8216" width="9.7109375" style="717" customWidth="1"/>
    <col min="8217" max="8217" width="10.85546875" style="717"/>
    <col min="8218" max="8218" width="10.140625" style="717" customWidth="1"/>
    <col min="8219" max="8219" width="9.140625" style="717" customWidth="1"/>
    <col min="8220" max="8448" width="10.85546875" style="717"/>
    <col min="8449" max="8449" width="28.7109375" style="717" customWidth="1"/>
    <col min="8450" max="8450" width="8.28515625" style="717" customWidth="1"/>
    <col min="8451" max="8451" width="0" style="717" hidden="1" customWidth="1"/>
    <col min="8452" max="8455" width="6.85546875" style="717" customWidth="1"/>
    <col min="8456" max="8456" width="8.85546875" style="717" customWidth="1"/>
    <col min="8457" max="8458" width="9" style="717" customWidth="1"/>
    <col min="8459" max="8459" width="10.140625" style="717" customWidth="1"/>
    <col min="8460" max="8460" width="15.5703125" style="717" customWidth="1"/>
    <col min="8461" max="8461" width="8.5703125" style="717" customWidth="1"/>
    <col min="8462" max="8462" width="11.42578125" style="717" customWidth="1"/>
    <col min="8463" max="8463" width="7.7109375" style="717" customWidth="1"/>
    <col min="8464" max="8465" width="8.28515625" style="717" customWidth="1"/>
    <col min="8466" max="8466" width="9.7109375" style="717" customWidth="1"/>
    <col min="8467" max="8467" width="9.140625" style="717" customWidth="1"/>
    <col min="8468" max="8468" width="9.5703125" style="717" customWidth="1"/>
    <col min="8469" max="8469" width="6.7109375" style="717" customWidth="1"/>
    <col min="8470" max="8470" width="8.7109375" style="717" customWidth="1"/>
    <col min="8471" max="8471" width="9.140625" style="717" customWidth="1"/>
    <col min="8472" max="8472" width="9.7109375" style="717" customWidth="1"/>
    <col min="8473" max="8473" width="10.85546875" style="717"/>
    <col min="8474" max="8474" width="10.140625" style="717" customWidth="1"/>
    <col min="8475" max="8475" width="9.140625" style="717" customWidth="1"/>
    <col min="8476" max="8704" width="10.85546875" style="717"/>
    <col min="8705" max="8705" width="28.7109375" style="717" customWidth="1"/>
    <col min="8706" max="8706" width="8.28515625" style="717" customWidth="1"/>
    <col min="8707" max="8707" width="0" style="717" hidden="1" customWidth="1"/>
    <col min="8708" max="8711" width="6.85546875" style="717" customWidth="1"/>
    <col min="8712" max="8712" width="8.85546875" style="717" customWidth="1"/>
    <col min="8713" max="8714" width="9" style="717" customWidth="1"/>
    <col min="8715" max="8715" width="10.140625" style="717" customWidth="1"/>
    <col min="8716" max="8716" width="15.5703125" style="717" customWidth="1"/>
    <col min="8717" max="8717" width="8.5703125" style="717" customWidth="1"/>
    <col min="8718" max="8718" width="11.42578125" style="717" customWidth="1"/>
    <col min="8719" max="8719" width="7.7109375" style="717" customWidth="1"/>
    <col min="8720" max="8721" width="8.28515625" style="717" customWidth="1"/>
    <col min="8722" max="8722" width="9.7109375" style="717" customWidth="1"/>
    <col min="8723" max="8723" width="9.140625" style="717" customWidth="1"/>
    <col min="8724" max="8724" width="9.5703125" style="717" customWidth="1"/>
    <col min="8725" max="8725" width="6.7109375" style="717" customWidth="1"/>
    <col min="8726" max="8726" width="8.7109375" style="717" customWidth="1"/>
    <col min="8727" max="8727" width="9.140625" style="717" customWidth="1"/>
    <col min="8728" max="8728" width="9.7109375" style="717" customWidth="1"/>
    <col min="8729" max="8729" width="10.85546875" style="717"/>
    <col min="8730" max="8730" width="10.140625" style="717" customWidth="1"/>
    <col min="8731" max="8731" width="9.140625" style="717" customWidth="1"/>
    <col min="8732" max="8960" width="10.85546875" style="717"/>
    <col min="8961" max="8961" width="28.7109375" style="717" customWidth="1"/>
    <col min="8962" max="8962" width="8.28515625" style="717" customWidth="1"/>
    <col min="8963" max="8963" width="0" style="717" hidden="1" customWidth="1"/>
    <col min="8964" max="8967" width="6.85546875" style="717" customWidth="1"/>
    <col min="8968" max="8968" width="8.85546875" style="717" customWidth="1"/>
    <col min="8969" max="8970" width="9" style="717" customWidth="1"/>
    <col min="8971" max="8971" width="10.140625" style="717" customWidth="1"/>
    <col min="8972" max="8972" width="15.5703125" style="717" customWidth="1"/>
    <col min="8973" max="8973" width="8.5703125" style="717" customWidth="1"/>
    <col min="8974" max="8974" width="11.42578125" style="717" customWidth="1"/>
    <col min="8975" max="8975" width="7.7109375" style="717" customWidth="1"/>
    <col min="8976" max="8977" width="8.28515625" style="717" customWidth="1"/>
    <col min="8978" max="8978" width="9.7109375" style="717" customWidth="1"/>
    <col min="8979" max="8979" width="9.140625" style="717" customWidth="1"/>
    <col min="8980" max="8980" width="9.5703125" style="717" customWidth="1"/>
    <col min="8981" max="8981" width="6.7109375" style="717" customWidth="1"/>
    <col min="8982" max="8982" width="8.7109375" style="717" customWidth="1"/>
    <col min="8983" max="8983" width="9.140625" style="717" customWidth="1"/>
    <col min="8984" max="8984" width="9.7109375" style="717" customWidth="1"/>
    <col min="8985" max="8985" width="10.85546875" style="717"/>
    <col min="8986" max="8986" width="10.140625" style="717" customWidth="1"/>
    <col min="8987" max="8987" width="9.140625" style="717" customWidth="1"/>
    <col min="8988" max="9216" width="10.85546875" style="717"/>
    <col min="9217" max="9217" width="28.7109375" style="717" customWidth="1"/>
    <col min="9218" max="9218" width="8.28515625" style="717" customWidth="1"/>
    <col min="9219" max="9219" width="0" style="717" hidden="1" customWidth="1"/>
    <col min="9220" max="9223" width="6.85546875" style="717" customWidth="1"/>
    <col min="9224" max="9224" width="8.85546875" style="717" customWidth="1"/>
    <col min="9225" max="9226" width="9" style="717" customWidth="1"/>
    <col min="9227" max="9227" width="10.140625" style="717" customWidth="1"/>
    <col min="9228" max="9228" width="15.5703125" style="717" customWidth="1"/>
    <col min="9229" max="9229" width="8.5703125" style="717" customWidth="1"/>
    <col min="9230" max="9230" width="11.42578125" style="717" customWidth="1"/>
    <col min="9231" max="9231" width="7.7109375" style="717" customWidth="1"/>
    <col min="9232" max="9233" width="8.28515625" style="717" customWidth="1"/>
    <col min="9234" max="9234" width="9.7109375" style="717" customWidth="1"/>
    <col min="9235" max="9235" width="9.140625" style="717" customWidth="1"/>
    <col min="9236" max="9236" width="9.5703125" style="717" customWidth="1"/>
    <col min="9237" max="9237" width="6.7109375" style="717" customWidth="1"/>
    <col min="9238" max="9238" width="8.7109375" style="717" customWidth="1"/>
    <col min="9239" max="9239" width="9.140625" style="717" customWidth="1"/>
    <col min="9240" max="9240" width="9.7109375" style="717" customWidth="1"/>
    <col min="9241" max="9241" width="10.85546875" style="717"/>
    <col min="9242" max="9242" width="10.140625" style="717" customWidth="1"/>
    <col min="9243" max="9243" width="9.140625" style="717" customWidth="1"/>
    <col min="9244" max="9472" width="10.85546875" style="717"/>
    <col min="9473" max="9473" width="28.7109375" style="717" customWidth="1"/>
    <col min="9474" max="9474" width="8.28515625" style="717" customWidth="1"/>
    <col min="9475" max="9475" width="0" style="717" hidden="1" customWidth="1"/>
    <col min="9476" max="9479" width="6.85546875" style="717" customWidth="1"/>
    <col min="9480" max="9480" width="8.85546875" style="717" customWidth="1"/>
    <col min="9481" max="9482" width="9" style="717" customWidth="1"/>
    <col min="9483" max="9483" width="10.140625" style="717" customWidth="1"/>
    <col min="9484" max="9484" width="15.5703125" style="717" customWidth="1"/>
    <col min="9485" max="9485" width="8.5703125" style="717" customWidth="1"/>
    <col min="9486" max="9486" width="11.42578125" style="717" customWidth="1"/>
    <col min="9487" max="9487" width="7.7109375" style="717" customWidth="1"/>
    <col min="9488" max="9489" width="8.28515625" style="717" customWidth="1"/>
    <col min="9490" max="9490" width="9.7109375" style="717" customWidth="1"/>
    <col min="9491" max="9491" width="9.140625" style="717" customWidth="1"/>
    <col min="9492" max="9492" width="9.5703125" style="717" customWidth="1"/>
    <col min="9493" max="9493" width="6.7109375" style="717" customWidth="1"/>
    <col min="9494" max="9494" width="8.7109375" style="717" customWidth="1"/>
    <col min="9495" max="9495" width="9.140625" style="717" customWidth="1"/>
    <col min="9496" max="9496" width="9.7109375" style="717" customWidth="1"/>
    <col min="9497" max="9497" width="10.85546875" style="717"/>
    <col min="9498" max="9498" width="10.140625" style="717" customWidth="1"/>
    <col min="9499" max="9499" width="9.140625" style="717" customWidth="1"/>
    <col min="9500" max="9728" width="10.85546875" style="717"/>
    <col min="9729" max="9729" width="28.7109375" style="717" customWidth="1"/>
    <col min="9730" max="9730" width="8.28515625" style="717" customWidth="1"/>
    <col min="9731" max="9731" width="0" style="717" hidden="1" customWidth="1"/>
    <col min="9732" max="9735" width="6.85546875" style="717" customWidth="1"/>
    <col min="9736" max="9736" width="8.85546875" style="717" customWidth="1"/>
    <col min="9737" max="9738" width="9" style="717" customWidth="1"/>
    <col min="9739" max="9739" width="10.140625" style="717" customWidth="1"/>
    <col min="9740" max="9740" width="15.5703125" style="717" customWidth="1"/>
    <col min="9741" max="9741" width="8.5703125" style="717" customWidth="1"/>
    <col min="9742" max="9742" width="11.42578125" style="717" customWidth="1"/>
    <col min="9743" max="9743" width="7.7109375" style="717" customWidth="1"/>
    <col min="9744" max="9745" width="8.28515625" style="717" customWidth="1"/>
    <col min="9746" max="9746" width="9.7109375" style="717" customWidth="1"/>
    <col min="9747" max="9747" width="9.140625" style="717" customWidth="1"/>
    <col min="9748" max="9748" width="9.5703125" style="717" customWidth="1"/>
    <col min="9749" max="9749" width="6.7109375" style="717" customWidth="1"/>
    <col min="9750" max="9750" width="8.7109375" style="717" customWidth="1"/>
    <col min="9751" max="9751" width="9.140625" style="717" customWidth="1"/>
    <col min="9752" max="9752" width="9.7109375" style="717" customWidth="1"/>
    <col min="9753" max="9753" width="10.85546875" style="717"/>
    <col min="9754" max="9754" width="10.140625" style="717" customWidth="1"/>
    <col min="9755" max="9755" width="9.140625" style="717" customWidth="1"/>
    <col min="9756" max="9984" width="10.85546875" style="717"/>
    <col min="9985" max="9985" width="28.7109375" style="717" customWidth="1"/>
    <col min="9986" max="9986" width="8.28515625" style="717" customWidth="1"/>
    <col min="9987" max="9987" width="0" style="717" hidden="1" customWidth="1"/>
    <col min="9988" max="9991" width="6.85546875" style="717" customWidth="1"/>
    <col min="9992" max="9992" width="8.85546875" style="717" customWidth="1"/>
    <col min="9993" max="9994" width="9" style="717" customWidth="1"/>
    <col min="9995" max="9995" width="10.140625" style="717" customWidth="1"/>
    <col min="9996" max="9996" width="15.5703125" style="717" customWidth="1"/>
    <col min="9997" max="9997" width="8.5703125" style="717" customWidth="1"/>
    <col min="9998" max="9998" width="11.42578125" style="717" customWidth="1"/>
    <col min="9999" max="9999" width="7.7109375" style="717" customWidth="1"/>
    <col min="10000" max="10001" width="8.28515625" style="717" customWidth="1"/>
    <col min="10002" max="10002" width="9.7109375" style="717" customWidth="1"/>
    <col min="10003" max="10003" width="9.140625" style="717" customWidth="1"/>
    <col min="10004" max="10004" width="9.5703125" style="717" customWidth="1"/>
    <col min="10005" max="10005" width="6.7109375" style="717" customWidth="1"/>
    <col min="10006" max="10006" width="8.7109375" style="717" customWidth="1"/>
    <col min="10007" max="10007" width="9.140625" style="717" customWidth="1"/>
    <col min="10008" max="10008" width="9.7109375" style="717" customWidth="1"/>
    <col min="10009" max="10009" width="10.85546875" style="717"/>
    <col min="10010" max="10010" width="10.140625" style="717" customWidth="1"/>
    <col min="10011" max="10011" width="9.140625" style="717" customWidth="1"/>
    <col min="10012" max="10240" width="10.85546875" style="717"/>
    <col min="10241" max="10241" width="28.7109375" style="717" customWidth="1"/>
    <col min="10242" max="10242" width="8.28515625" style="717" customWidth="1"/>
    <col min="10243" max="10243" width="0" style="717" hidden="1" customWidth="1"/>
    <col min="10244" max="10247" width="6.85546875" style="717" customWidth="1"/>
    <col min="10248" max="10248" width="8.85546875" style="717" customWidth="1"/>
    <col min="10249" max="10250" width="9" style="717" customWidth="1"/>
    <col min="10251" max="10251" width="10.140625" style="717" customWidth="1"/>
    <col min="10252" max="10252" width="15.5703125" style="717" customWidth="1"/>
    <col min="10253" max="10253" width="8.5703125" style="717" customWidth="1"/>
    <col min="10254" max="10254" width="11.42578125" style="717" customWidth="1"/>
    <col min="10255" max="10255" width="7.7109375" style="717" customWidth="1"/>
    <col min="10256" max="10257" width="8.28515625" style="717" customWidth="1"/>
    <col min="10258" max="10258" width="9.7109375" style="717" customWidth="1"/>
    <col min="10259" max="10259" width="9.140625" style="717" customWidth="1"/>
    <col min="10260" max="10260" width="9.5703125" style="717" customWidth="1"/>
    <col min="10261" max="10261" width="6.7109375" style="717" customWidth="1"/>
    <col min="10262" max="10262" width="8.7109375" style="717" customWidth="1"/>
    <col min="10263" max="10263" width="9.140625" style="717" customWidth="1"/>
    <col min="10264" max="10264" width="9.7109375" style="717" customWidth="1"/>
    <col min="10265" max="10265" width="10.85546875" style="717"/>
    <col min="10266" max="10266" width="10.140625" style="717" customWidth="1"/>
    <col min="10267" max="10267" width="9.140625" style="717" customWidth="1"/>
    <col min="10268" max="10496" width="10.85546875" style="717"/>
    <col min="10497" max="10497" width="28.7109375" style="717" customWidth="1"/>
    <col min="10498" max="10498" width="8.28515625" style="717" customWidth="1"/>
    <col min="10499" max="10499" width="0" style="717" hidden="1" customWidth="1"/>
    <col min="10500" max="10503" width="6.85546875" style="717" customWidth="1"/>
    <col min="10504" max="10504" width="8.85546875" style="717" customWidth="1"/>
    <col min="10505" max="10506" width="9" style="717" customWidth="1"/>
    <col min="10507" max="10507" width="10.140625" style="717" customWidth="1"/>
    <col min="10508" max="10508" width="15.5703125" style="717" customWidth="1"/>
    <col min="10509" max="10509" width="8.5703125" style="717" customWidth="1"/>
    <col min="10510" max="10510" width="11.42578125" style="717" customWidth="1"/>
    <col min="10511" max="10511" width="7.7109375" style="717" customWidth="1"/>
    <col min="10512" max="10513" width="8.28515625" style="717" customWidth="1"/>
    <col min="10514" max="10514" width="9.7109375" style="717" customWidth="1"/>
    <col min="10515" max="10515" width="9.140625" style="717" customWidth="1"/>
    <col min="10516" max="10516" width="9.5703125" style="717" customWidth="1"/>
    <col min="10517" max="10517" width="6.7109375" style="717" customWidth="1"/>
    <col min="10518" max="10518" width="8.7109375" style="717" customWidth="1"/>
    <col min="10519" max="10519" width="9.140625" style="717" customWidth="1"/>
    <col min="10520" max="10520" width="9.7109375" style="717" customWidth="1"/>
    <col min="10521" max="10521" width="10.85546875" style="717"/>
    <col min="10522" max="10522" width="10.140625" style="717" customWidth="1"/>
    <col min="10523" max="10523" width="9.140625" style="717" customWidth="1"/>
    <col min="10524" max="10752" width="10.85546875" style="717"/>
    <col min="10753" max="10753" width="28.7109375" style="717" customWidth="1"/>
    <col min="10754" max="10754" width="8.28515625" style="717" customWidth="1"/>
    <col min="10755" max="10755" width="0" style="717" hidden="1" customWidth="1"/>
    <col min="10756" max="10759" width="6.85546875" style="717" customWidth="1"/>
    <col min="10760" max="10760" width="8.85546875" style="717" customWidth="1"/>
    <col min="10761" max="10762" width="9" style="717" customWidth="1"/>
    <col min="10763" max="10763" width="10.140625" style="717" customWidth="1"/>
    <col min="10764" max="10764" width="15.5703125" style="717" customWidth="1"/>
    <col min="10765" max="10765" width="8.5703125" style="717" customWidth="1"/>
    <col min="10766" max="10766" width="11.42578125" style="717" customWidth="1"/>
    <col min="10767" max="10767" width="7.7109375" style="717" customWidth="1"/>
    <col min="10768" max="10769" width="8.28515625" style="717" customWidth="1"/>
    <col min="10770" max="10770" width="9.7109375" style="717" customWidth="1"/>
    <col min="10771" max="10771" width="9.140625" style="717" customWidth="1"/>
    <col min="10772" max="10772" width="9.5703125" style="717" customWidth="1"/>
    <col min="10773" max="10773" width="6.7109375" style="717" customWidth="1"/>
    <col min="10774" max="10774" width="8.7109375" style="717" customWidth="1"/>
    <col min="10775" max="10775" width="9.140625" style="717" customWidth="1"/>
    <col min="10776" max="10776" width="9.7109375" style="717" customWidth="1"/>
    <col min="10777" max="10777" width="10.85546875" style="717"/>
    <col min="10778" max="10778" width="10.140625" style="717" customWidth="1"/>
    <col min="10779" max="10779" width="9.140625" style="717" customWidth="1"/>
    <col min="10780" max="11008" width="10.85546875" style="717"/>
    <col min="11009" max="11009" width="28.7109375" style="717" customWidth="1"/>
    <col min="11010" max="11010" width="8.28515625" style="717" customWidth="1"/>
    <col min="11011" max="11011" width="0" style="717" hidden="1" customWidth="1"/>
    <col min="11012" max="11015" width="6.85546875" style="717" customWidth="1"/>
    <col min="11016" max="11016" width="8.85546875" style="717" customWidth="1"/>
    <col min="11017" max="11018" width="9" style="717" customWidth="1"/>
    <col min="11019" max="11019" width="10.140625" style="717" customWidth="1"/>
    <col min="11020" max="11020" width="15.5703125" style="717" customWidth="1"/>
    <col min="11021" max="11021" width="8.5703125" style="717" customWidth="1"/>
    <col min="11022" max="11022" width="11.42578125" style="717" customWidth="1"/>
    <col min="11023" max="11023" width="7.7109375" style="717" customWidth="1"/>
    <col min="11024" max="11025" width="8.28515625" style="717" customWidth="1"/>
    <col min="11026" max="11026" width="9.7109375" style="717" customWidth="1"/>
    <col min="11027" max="11027" width="9.140625" style="717" customWidth="1"/>
    <col min="11028" max="11028" width="9.5703125" style="717" customWidth="1"/>
    <col min="11029" max="11029" width="6.7109375" style="717" customWidth="1"/>
    <col min="11030" max="11030" width="8.7109375" style="717" customWidth="1"/>
    <col min="11031" max="11031" width="9.140625" style="717" customWidth="1"/>
    <col min="11032" max="11032" width="9.7109375" style="717" customWidth="1"/>
    <col min="11033" max="11033" width="10.85546875" style="717"/>
    <col min="11034" max="11034" width="10.140625" style="717" customWidth="1"/>
    <col min="11035" max="11035" width="9.140625" style="717" customWidth="1"/>
    <col min="11036" max="11264" width="10.85546875" style="717"/>
    <col min="11265" max="11265" width="28.7109375" style="717" customWidth="1"/>
    <col min="11266" max="11266" width="8.28515625" style="717" customWidth="1"/>
    <col min="11267" max="11267" width="0" style="717" hidden="1" customWidth="1"/>
    <col min="11268" max="11271" width="6.85546875" style="717" customWidth="1"/>
    <col min="11272" max="11272" width="8.85546875" style="717" customWidth="1"/>
    <col min="11273" max="11274" width="9" style="717" customWidth="1"/>
    <col min="11275" max="11275" width="10.140625" style="717" customWidth="1"/>
    <col min="11276" max="11276" width="15.5703125" style="717" customWidth="1"/>
    <col min="11277" max="11277" width="8.5703125" style="717" customWidth="1"/>
    <col min="11278" max="11278" width="11.42578125" style="717" customWidth="1"/>
    <col min="11279" max="11279" width="7.7109375" style="717" customWidth="1"/>
    <col min="11280" max="11281" width="8.28515625" style="717" customWidth="1"/>
    <col min="11282" max="11282" width="9.7109375" style="717" customWidth="1"/>
    <col min="11283" max="11283" width="9.140625" style="717" customWidth="1"/>
    <col min="11284" max="11284" width="9.5703125" style="717" customWidth="1"/>
    <col min="11285" max="11285" width="6.7109375" style="717" customWidth="1"/>
    <col min="11286" max="11286" width="8.7109375" style="717" customWidth="1"/>
    <col min="11287" max="11287" width="9.140625" style="717" customWidth="1"/>
    <col min="11288" max="11288" width="9.7109375" style="717" customWidth="1"/>
    <col min="11289" max="11289" width="10.85546875" style="717"/>
    <col min="11290" max="11290" width="10.140625" style="717" customWidth="1"/>
    <col min="11291" max="11291" width="9.140625" style="717" customWidth="1"/>
    <col min="11292" max="11520" width="10.85546875" style="717"/>
    <col min="11521" max="11521" width="28.7109375" style="717" customWidth="1"/>
    <col min="11522" max="11522" width="8.28515625" style="717" customWidth="1"/>
    <col min="11523" max="11523" width="0" style="717" hidden="1" customWidth="1"/>
    <col min="11524" max="11527" width="6.85546875" style="717" customWidth="1"/>
    <col min="11528" max="11528" width="8.85546875" style="717" customWidth="1"/>
    <col min="11529" max="11530" width="9" style="717" customWidth="1"/>
    <col min="11531" max="11531" width="10.140625" style="717" customWidth="1"/>
    <col min="11532" max="11532" width="15.5703125" style="717" customWidth="1"/>
    <col min="11533" max="11533" width="8.5703125" style="717" customWidth="1"/>
    <col min="11534" max="11534" width="11.42578125" style="717" customWidth="1"/>
    <col min="11535" max="11535" width="7.7109375" style="717" customWidth="1"/>
    <col min="11536" max="11537" width="8.28515625" style="717" customWidth="1"/>
    <col min="11538" max="11538" width="9.7109375" style="717" customWidth="1"/>
    <col min="11539" max="11539" width="9.140625" style="717" customWidth="1"/>
    <col min="11540" max="11540" width="9.5703125" style="717" customWidth="1"/>
    <col min="11541" max="11541" width="6.7109375" style="717" customWidth="1"/>
    <col min="11542" max="11542" width="8.7109375" style="717" customWidth="1"/>
    <col min="11543" max="11543" width="9.140625" style="717" customWidth="1"/>
    <col min="11544" max="11544" width="9.7109375" style="717" customWidth="1"/>
    <col min="11545" max="11545" width="10.85546875" style="717"/>
    <col min="11546" max="11546" width="10.140625" style="717" customWidth="1"/>
    <col min="11547" max="11547" width="9.140625" style="717" customWidth="1"/>
    <col min="11548" max="11776" width="10.85546875" style="717"/>
    <col min="11777" max="11777" width="28.7109375" style="717" customWidth="1"/>
    <col min="11778" max="11778" width="8.28515625" style="717" customWidth="1"/>
    <col min="11779" max="11779" width="0" style="717" hidden="1" customWidth="1"/>
    <col min="11780" max="11783" width="6.85546875" style="717" customWidth="1"/>
    <col min="11784" max="11784" width="8.85546875" style="717" customWidth="1"/>
    <col min="11785" max="11786" width="9" style="717" customWidth="1"/>
    <col min="11787" max="11787" width="10.140625" style="717" customWidth="1"/>
    <col min="11788" max="11788" width="15.5703125" style="717" customWidth="1"/>
    <col min="11789" max="11789" width="8.5703125" style="717" customWidth="1"/>
    <col min="11790" max="11790" width="11.42578125" style="717" customWidth="1"/>
    <col min="11791" max="11791" width="7.7109375" style="717" customWidth="1"/>
    <col min="11792" max="11793" width="8.28515625" style="717" customWidth="1"/>
    <col min="11794" max="11794" width="9.7109375" style="717" customWidth="1"/>
    <col min="11795" max="11795" width="9.140625" style="717" customWidth="1"/>
    <col min="11796" max="11796" width="9.5703125" style="717" customWidth="1"/>
    <col min="11797" max="11797" width="6.7109375" style="717" customWidth="1"/>
    <col min="11798" max="11798" width="8.7109375" style="717" customWidth="1"/>
    <col min="11799" max="11799" width="9.140625" style="717" customWidth="1"/>
    <col min="11800" max="11800" width="9.7109375" style="717" customWidth="1"/>
    <col min="11801" max="11801" width="10.85546875" style="717"/>
    <col min="11802" max="11802" width="10.140625" style="717" customWidth="1"/>
    <col min="11803" max="11803" width="9.140625" style="717" customWidth="1"/>
    <col min="11804" max="12032" width="10.85546875" style="717"/>
    <col min="12033" max="12033" width="28.7109375" style="717" customWidth="1"/>
    <col min="12034" max="12034" width="8.28515625" style="717" customWidth="1"/>
    <col min="12035" max="12035" width="0" style="717" hidden="1" customWidth="1"/>
    <col min="12036" max="12039" width="6.85546875" style="717" customWidth="1"/>
    <col min="12040" max="12040" width="8.85546875" style="717" customWidth="1"/>
    <col min="12041" max="12042" width="9" style="717" customWidth="1"/>
    <col min="12043" max="12043" width="10.140625" style="717" customWidth="1"/>
    <col min="12044" max="12044" width="15.5703125" style="717" customWidth="1"/>
    <col min="12045" max="12045" width="8.5703125" style="717" customWidth="1"/>
    <col min="12046" max="12046" width="11.42578125" style="717" customWidth="1"/>
    <col min="12047" max="12047" width="7.7109375" style="717" customWidth="1"/>
    <col min="12048" max="12049" width="8.28515625" style="717" customWidth="1"/>
    <col min="12050" max="12050" width="9.7109375" style="717" customWidth="1"/>
    <col min="12051" max="12051" width="9.140625" style="717" customWidth="1"/>
    <col min="12052" max="12052" width="9.5703125" style="717" customWidth="1"/>
    <col min="12053" max="12053" width="6.7109375" style="717" customWidth="1"/>
    <col min="12054" max="12054" width="8.7109375" style="717" customWidth="1"/>
    <col min="12055" max="12055" width="9.140625" style="717" customWidth="1"/>
    <col min="12056" max="12056" width="9.7109375" style="717" customWidth="1"/>
    <col min="12057" max="12057" width="10.85546875" style="717"/>
    <col min="12058" max="12058" width="10.140625" style="717" customWidth="1"/>
    <col min="12059" max="12059" width="9.140625" style="717" customWidth="1"/>
    <col min="12060" max="12288" width="10.85546875" style="717"/>
    <col min="12289" max="12289" width="28.7109375" style="717" customWidth="1"/>
    <col min="12290" max="12290" width="8.28515625" style="717" customWidth="1"/>
    <col min="12291" max="12291" width="0" style="717" hidden="1" customWidth="1"/>
    <col min="12292" max="12295" width="6.85546875" style="717" customWidth="1"/>
    <col min="12296" max="12296" width="8.85546875" style="717" customWidth="1"/>
    <col min="12297" max="12298" width="9" style="717" customWidth="1"/>
    <col min="12299" max="12299" width="10.140625" style="717" customWidth="1"/>
    <col min="12300" max="12300" width="15.5703125" style="717" customWidth="1"/>
    <col min="12301" max="12301" width="8.5703125" style="717" customWidth="1"/>
    <col min="12302" max="12302" width="11.42578125" style="717" customWidth="1"/>
    <col min="12303" max="12303" width="7.7109375" style="717" customWidth="1"/>
    <col min="12304" max="12305" width="8.28515625" style="717" customWidth="1"/>
    <col min="12306" max="12306" width="9.7109375" style="717" customWidth="1"/>
    <col min="12307" max="12307" width="9.140625" style="717" customWidth="1"/>
    <col min="12308" max="12308" width="9.5703125" style="717" customWidth="1"/>
    <col min="12309" max="12309" width="6.7109375" style="717" customWidth="1"/>
    <col min="12310" max="12310" width="8.7109375" style="717" customWidth="1"/>
    <col min="12311" max="12311" width="9.140625" style="717" customWidth="1"/>
    <col min="12312" max="12312" width="9.7109375" style="717" customWidth="1"/>
    <col min="12313" max="12313" width="10.85546875" style="717"/>
    <col min="12314" max="12314" width="10.140625" style="717" customWidth="1"/>
    <col min="12315" max="12315" width="9.140625" style="717" customWidth="1"/>
    <col min="12316" max="12544" width="10.85546875" style="717"/>
    <col min="12545" max="12545" width="28.7109375" style="717" customWidth="1"/>
    <col min="12546" max="12546" width="8.28515625" style="717" customWidth="1"/>
    <col min="12547" max="12547" width="0" style="717" hidden="1" customWidth="1"/>
    <col min="12548" max="12551" width="6.85546875" style="717" customWidth="1"/>
    <col min="12552" max="12552" width="8.85546875" style="717" customWidth="1"/>
    <col min="12553" max="12554" width="9" style="717" customWidth="1"/>
    <col min="12555" max="12555" width="10.140625" style="717" customWidth="1"/>
    <col min="12556" max="12556" width="15.5703125" style="717" customWidth="1"/>
    <col min="12557" max="12557" width="8.5703125" style="717" customWidth="1"/>
    <col min="12558" max="12558" width="11.42578125" style="717" customWidth="1"/>
    <col min="12559" max="12559" width="7.7109375" style="717" customWidth="1"/>
    <col min="12560" max="12561" width="8.28515625" style="717" customWidth="1"/>
    <col min="12562" max="12562" width="9.7109375" style="717" customWidth="1"/>
    <col min="12563" max="12563" width="9.140625" style="717" customWidth="1"/>
    <col min="12564" max="12564" width="9.5703125" style="717" customWidth="1"/>
    <col min="12565" max="12565" width="6.7109375" style="717" customWidth="1"/>
    <col min="12566" max="12566" width="8.7109375" style="717" customWidth="1"/>
    <col min="12567" max="12567" width="9.140625" style="717" customWidth="1"/>
    <col min="12568" max="12568" width="9.7109375" style="717" customWidth="1"/>
    <col min="12569" max="12569" width="10.85546875" style="717"/>
    <col min="12570" max="12570" width="10.140625" style="717" customWidth="1"/>
    <col min="12571" max="12571" width="9.140625" style="717" customWidth="1"/>
    <col min="12572" max="12800" width="10.85546875" style="717"/>
    <col min="12801" max="12801" width="28.7109375" style="717" customWidth="1"/>
    <col min="12802" max="12802" width="8.28515625" style="717" customWidth="1"/>
    <col min="12803" max="12803" width="0" style="717" hidden="1" customWidth="1"/>
    <col min="12804" max="12807" width="6.85546875" style="717" customWidth="1"/>
    <col min="12808" max="12808" width="8.85546875" style="717" customWidth="1"/>
    <col min="12809" max="12810" width="9" style="717" customWidth="1"/>
    <col min="12811" max="12811" width="10.140625" style="717" customWidth="1"/>
    <col min="12812" max="12812" width="15.5703125" style="717" customWidth="1"/>
    <col min="12813" max="12813" width="8.5703125" style="717" customWidth="1"/>
    <col min="12814" max="12814" width="11.42578125" style="717" customWidth="1"/>
    <col min="12815" max="12815" width="7.7109375" style="717" customWidth="1"/>
    <col min="12816" max="12817" width="8.28515625" style="717" customWidth="1"/>
    <col min="12818" max="12818" width="9.7109375" style="717" customWidth="1"/>
    <col min="12819" max="12819" width="9.140625" style="717" customWidth="1"/>
    <col min="12820" max="12820" width="9.5703125" style="717" customWidth="1"/>
    <col min="12821" max="12821" width="6.7109375" style="717" customWidth="1"/>
    <col min="12822" max="12822" width="8.7109375" style="717" customWidth="1"/>
    <col min="12823" max="12823" width="9.140625" style="717" customWidth="1"/>
    <col min="12824" max="12824" width="9.7109375" style="717" customWidth="1"/>
    <col min="12825" max="12825" width="10.85546875" style="717"/>
    <col min="12826" max="12826" width="10.140625" style="717" customWidth="1"/>
    <col min="12827" max="12827" width="9.140625" style="717" customWidth="1"/>
    <col min="12828" max="13056" width="10.85546875" style="717"/>
    <col min="13057" max="13057" width="28.7109375" style="717" customWidth="1"/>
    <col min="13058" max="13058" width="8.28515625" style="717" customWidth="1"/>
    <col min="13059" max="13059" width="0" style="717" hidden="1" customWidth="1"/>
    <col min="13060" max="13063" width="6.85546875" style="717" customWidth="1"/>
    <col min="13064" max="13064" width="8.85546875" style="717" customWidth="1"/>
    <col min="13065" max="13066" width="9" style="717" customWidth="1"/>
    <col min="13067" max="13067" width="10.140625" style="717" customWidth="1"/>
    <col min="13068" max="13068" width="15.5703125" style="717" customWidth="1"/>
    <col min="13069" max="13069" width="8.5703125" style="717" customWidth="1"/>
    <col min="13070" max="13070" width="11.42578125" style="717" customWidth="1"/>
    <col min="13071" max="13071" width="7.7109375" style="717" customWidth="1"/>
    <col min="13072" max="13073" width="8.28515625" style="717" customWidth="1"/>
    <col min="13074" max="13074" width="9.7109375" style="717" customWidth="1"/>
    <col min="13075" max="13075" width="9.140625" style="717" customWidth="1"/>
    <col min="13076" max="13076" width="9.5703125" style="717" customWidth="1"/>
    <col min="13077" max="13077" width="6.7109375" style="717" customWidth="1"/>
    <col min="13078" max="13078" width="8.7109375" style="717" customWidth="1"/>
    <col min="13079" max="13079" width="9.140625" style="717" customWidth="1"/>
    <col min="13080" max="13080" width="9.7109375" style="717" customWidth="1"/>
    <col min="13081" max="13081" width="10.85546875" style="717"/>
    <col min="13082" max="13082" width="10.140625" style="717" customWidth="1"/>
    <col min="13083" max="13083" width="9.140625" style="717" customWidth="1"/>
    <col min="13084" max="13312" width="10.85546875" style="717"/>
    <col min="13313" max="13313" width="28.7109375" style="717" customWidth="1"/>
    <col min="13314" max="13314" width="8.28515625" style="717" customWidth="1"/>
    <col min="13315" max="13315" width="0" style="717" hidden="1" customWidth="1"/>
    <col min="13316" max="13319" width="6.85546875" style="717" customWidth="1"/>
    <col min="13320" max="13320" width="8.85546875" style="717" customWidth="1"/>
    <col min="13321" max="13322" width="9" style="717" customWidth="1"/>
    <col min="13323" max="13323" width="10.140625" style="717" customWidth="1"/>
    <col min="13324" max="13324" width="15.5703125" style="717" customWidth="1"/>
    <col min="13325" max="13325" width="8.5703125" style="717" customWidth="1"/>
    <col min="13326" max="13326" width="11.42578125" style="717" customWidth="1"/>
    <col min="13327" max="13327" width="7.7109375" style="717" customWidth="1"/>
    <col min="13328" max="13329" width="8.28515625" style="717" customWidth="1"/>
    <col min="13330" max="13330" width="9.7109375" style="717" customWidth="1"/>
    <col min="13331" max="13331" width="9.140625" style="717" customWidth="1"/>
    <col min="13332" max="13332" width="9.5703125" style="717" customWidth="1"/>
    <col min="13333" max="13333" width="6.7109375" style="717" customWidth="1"/>
    <col min="13334" max="13334" width="8.7109375" style="717" customWidth="1"/>
    <col min="13335" max="13335" width="9.140625" style="717" customWidth="1"/>
    <col min="13336" max="13336" width="9.7109375" style="717" customWidth="1"/>
    <col min="13337" max="13337" width="10.85546875" style="717"/>
    <col min="13338" max="13338" width="10.140625" style="717" customWidth="1"/>
    <col min="13339" max="13339" width="9.140625" style="717" customWidth="1"/>
    <col min="13340" max="13568" width="10.85546875" style="717"/>
    <col min="13569" max="13569" width="28.7109375" style="717" customWidth="1"/>
    <col min="13570" max="13570" width="8.28515625" style="717" customWidth="1"/>
    <col min="13571" max="13571" width="0" style="717" hidden="1" customWidth="1"/>
    <col min="13572" max="13575" width="6.85546875" style="717" customWidth="1"/>
    <col min="13576" max="13576" width="8.85546875" style="717" customWidth="1"/>
    <col min="13577" max="13578" width="9" style="717" customWidth="1"/>
    <col min="13579" max="13579" width="10.140625" style="717" customWidth="1"/>
    <col min="13580" max="13580" width="15.5703125" style="717" customWidth="1"/>
    <col min="13581" max="13581" width="8.5703125" style="717" customWidth="1"/>
    <col min="13582" max="13582" width="11.42578125" style="717" customWidth="1"/>
    <col min="13583" max="13583" width="7.7109375" style="717" customWidth="1"/>
    <col min="13584" max="13585" width="8.28515625" style="717" customWidth="1"/>
    <col min="13586" max="13586" width="9.7109375" style="717" customWidth="1"/>
    <col min="13587" max="13587" width="9.140625" style="717" customWidth="1"/>
    <col min="13588" max="13588" width="9.5703125" style="717" customWidth="1"/>
    <col min="13589" max="13589" width="6.7109375" style="717" customWidth="1"/>
    <col min="13590" max="13590" width="8.7109375" style="717" customWidth="1"/>
    <col min="13591" max="13591" width="9.140625" style="717" customWidth="1"/>
    <col min="13592" max="13592" width="9.7109375" style="717" customWidth="1"/>
    <col min="13593" max="13593" width="10.85546875" style="717"/>
    <col min="13594" max="13594" width="10.140625" style="717" customWidth="1"/>
    <col min="13595" max="13595" width="9.140625" style="717" customWidth="1"/>
    <col min="13596" max="13824" width="10.85546875" style="717"/>
    <col min="13825" max="13825" width="28.7109375" style="717" customWidth="1"/>
    <col min="13826" max="13826" width="8.28515625" style="717" customWidth="1"/>
    <col min="13827" max="13827" width="0" style="717" hidden="1" customWidth="1"/>
    <col min="13828" max="13831" width="6.85546875" style="717" customWidth="1"/>
    <col min="13832" max="13832" width="8.85546875" style="717" customWidth="1"/>
    <col min="13833" max="13834" width="9" style="717" customWidth="1"/>
    <col min="13835" max="13835" width="10.140625" style="717" customWidth="1"/>
    <col min="13836" max="13836" width="15.5703125" style="717" customWidth="1"/>
    <col min="13837" max="13837" width="8.5703125" style="717" customWidth="1"/>
    <col min="13838" max="13838" width="11.42578125" style="717" customWidth="1"/>
    <col min="13839" max="13839" width="7.7109375" style="717" customWidth="1"/>
    <col min="13840" max="13841" width="8.28515625" style="717" customWidth="1"/>
    <col min="13842" max="13842" width="9.7109375" style="717" customWidth="1"/>
    <col min="13843" max="13843" width="9.140625" style="717" customWidth="1"/>
    <col min="13844" max="13844" width="9.5703125" style="717" customWidth="1"/>
    <col min="13845" max="13845" width="6.7109375" style="717" customWidth="1"/>
    <col min="13846" max="13846" width="8.7109375" style="717" customWidth="1"/>
    <col min="13847" max="13847" width="9.140625" style="717" customWidth="1"/>
    <col min="13848" max="13848" width="9.7109375" style="717" customWidth="1"/>
    <col min="13849" max="13849" width="10.85546875" style="717"/>
    <col min="13850" max="13850" width="10.140625" style="717" customWidth="1"/>
    <col min="13851" max="13851" width="9.140625" style="717" customWidth="1"/>
    <col min="13852" max="14080" width="10.85546875" style="717"/>
    <col min="14081" max="14081" width="28.7109375" style="717" customWidth="1"/>
    <col min="14082" max="14082" width="8.28515625" style="717" customWidth="1"/>
    <col min="14083" max="14083" width="0" style="717" hidden="1" customWidth="1"/>
    <col min="14084" max="14087" width="6.85546875" style="717" customWidth="1"/>
    <col min="14088" max="14088" width="8.85546875" style="717" customWidth="1"/>
    <col min="14089" max="14090" width="9" style="717" customWidth="1"/>
    <col min="14091" max="14091" width="10.140625" style="717" customWidth="1"/>
    <col min="14092" max="14092" width="15.5703125" style="717" customWidth="1"/>
    <col min="14093" max="14093" width="8.5703125" style="717" customWidth="1"/>
    <col min="14094" max="14094" width="11.42578125" style="717" customWidth="1"/>
    <col min="14095" max="14095" width="7.7109375" style="717" customWidth="1"/>
    <col min="14096" max="14097" width="8.28515625" style="717" customWidth="1"/>
    <col min="14098" max="14098" width="9.7109375" style="717" customWidth="1"/>
    <col min="14099" max="14099" width="9.140625" style="717" customWidth="1"/>
    <col min="14100" max="14100" width="9.5703125" style="717" customWidth="1"/>
    <col min="14101" max="14101" width="6.7109375" style="717" customWidth="1"/>
    <col min="14102" max="14102" width="8.7109375" style="717" customWidth="1"/>
    <col min="14103" max="14103" width="9.140625" style="717" customWidth="1"/>
    <col min="14104" max="14104" width="9.7109375" style="717" customWidth="1"/>
    <col min="14105" max="14105" width="10.85546875" style="717"/>
    <col min="14106" max="14106" width="10.140625" style="717" customWidth="1"/>
    <col min="14107" max="14107" width="9.140625" style="717" customWidth="1"/>
    <col min="14108" max="14336" width="10.85546875" style="717"/>
    <col min="14337" max="14337" width="28.7109375" style="717" customWidth="1"/>
    <col min="14338" max="14338" width="8.28515625" style="717" customWidth="1"/>
    <col min="14339" max="14339" width="0" style="717" hidden="1" customWidth="1"/>
    <col min="14340" max="14343" width="6.85546875" style="717" customWidth="1"/>
    <col min="14344" max="14344" width="8.85546875" style="717" customWidth="1"/>
    <col min="14345" max="14346" width="9" style="717" customWidth="1"/>
    <col min="14347" max="14347" width="10.140625" style="717" customWidth="1"/>
    <col min="14348" max="14348" width="15.5703125" style="717" customWidth="1"/>
    <col min="14349" max="14349" width="8.5703125" style="717" customWidth="1"/>
    <col min="14350" max="14350" width="11.42578125" style="717" customWidth="1"/>
    <col min="14351" max="14351" width="7.7109375" style="717" customWidth="1"/>
    <col min="14352" max="14353" width="8.28515625" style="717" customWidth="1"/>
    <col min="14354" max="14354" width="9.7109375" style="717" customWidth="1"/>
    <col min="14355" max="14355" width="9.140625" style="717" customWidth="1"/>
    <col min="14356" max="14356" width="9.5703125" style="717" customWidth="1"/>
    <col min="14357" max="14357" width="6.7109375" style="717" customWidth="1"/>
    <col min="14358" max="14358" width="8.7109375" style="717" customWidth="1"/>
    <col min="14359" max="14359" width="9.140625" style="717" customWidth="1"/>
    <col min="14360" max="14360" width="9.7109375" style="717" customWidth="1"/>
    <col min="14361" max="14361" width="10.85546875" style="717"/>
    <col min="14362" max="14362" width="10.140625" style="717" customWidth="1"/>
    <col min="14363" max="14363" width="9.140625" style="717" customWidth="1"/>
    <col min="14364" max="14592" width="10.85546875" style="717"/>
    <col min="14593" max="14593" width="28.7109375" style="717" customWidth="1"/>
    <col min="14594" max="14594" width="8.28515625" style="717" customWidth="1"/>
    <col min="14595" max="14595" width="0" style="717" hidden="1" customWidth="1"/>
    <col min="14596" max="14599" width="6.85546875" style="717" customWidth="1"/>
    <col min="14600" max="14600" width="8.85546875" style="717" customWidth="1"/>
    <col min="14601" max="14602" width="9" style="717" customWidth="1"/>
    <col min="14603" max="14603" width="10.140625" style="717" customWidth="1"/>
    <col min="14604" max="14604" width="15.5703125" style="717" customWidth="1"/>
    <col min="14605" max="14605" width="8.5703125" style="717" customWidth="1"/>
    <col min="14606" max="14606" width="11.42578125" style="717" customWidth="1"/>
    <col min="14607" max="14607" width="7.7109375" style="717" customWidth="1"/>
    <col min="14608" max="14609" width="8.28515625" style="717" customWidth="1"/>
    <col min="14610" max="14610" width="9.7109375" style="717" customWidth="1"/>
    <col min="14611" max="14611" width="9.140625" style="717" customWidth="1"/>
    <col min="14612" max="14612" width="9.5703125" style="717" customWidth="1"/>
    <col min="14613" max="14613" width="6.7109375" style="717" customWidth="1"/>
    <col min="14614" max="14614" width="8.7109375" style="717" customWidth="1"/>
    <col min="14615" max="14615" width="9.140625" style="717" customWidth="1"/>
    <col min="14616" max="14616" width="9.7109375" style="717" customWidth="1"/>
    <col min="14617" max="14617" width="10.85546875" style="717"/>
    <col min="14618" max="14618" width="10.140625" style="717" customWidth="1"/>
    <col min="14619" max="14619" width="9.140625" style="717" customWidth="1"/>
    <col min="14620" max="14848" width="10.85546875" style="717"/>
    <col min="14849" max="14849" width="28.7109375" style="717" customWidth="1"/>
    <col min="14850" max="14850" width="8.28515625" style="717" customWidth="1"/>
    <col min="14851" max="14851" width="0" style="717" hidden="1" customWidth="1"/>
    <col min="14852" max="14855" width="6.85546875" style="717" customWidth="1"/>
    <col min="14856" max="14856" width="8.85546875" style="717" customWidth="1"/>
    <col min="14857" max="14858" width="9" style="717" customWidth="1"/>
    <col min="14859" max="14859" width="10.140625" style="717" customWidth="1"/>
    <col min="14860" max="14860" width="15.5703125" style="717" customWidth="1"/>
    <col min="14861" max="14861" width="8.5703125" style="717" customWidth="1"/>
    <col min="14862" max="14862" width="11.42578125" style="717" customWidth="1"/>
    <col min="14863" max="14863" width="7.7109375" style="717" customWidth="1"/>
    <col min="14864" max="14865" width="8.28515625" style="717" customWidth="1"/>
    <col min="14866" max="14866" width="9.7109375" style="717" customWidth="1"/>
    <col min="14867" max="14867" width="9.140625" style="717" customWidth="1"/>
    <col min="14868" max="14868" width="9.5703125" style="717" customWidth="1"/>
    <col min="14869" max="14869" width="6.7109375" style="717" customWidth="1"/>
    <col min="14870" max="14870" width="8.7109375" style="717" customWidth="1"/>
    <col min="14871" max="14871" width="9.140625" style="717" customWidth="1"/>
    <col min="14872" max="14872" width="9.7109375" style="717" customWidth="1"/>
    <col min="14873" max="14873" width="10.85546875" style="717"/>
    <col min="14874" max="14874" width="10.140625" style="717" customWidth="1"/>
    <col min="14875" max="14875" width="9.140625" style="717" customWidth="1"/>
    <col min="14876" max="15104" width="10.85546875" style="717"/>
    <col min="15105" max="15105" width="28.7109375" style="717" customWidth="1"/>
    <col min="15106" max="15106" width="8.28515625" style="717" customWidth="1"/>
    <col min="15107" max="15107" width="0" style="717" hidden="1" customWidth="1"/>
    <col min="15108" max="15111" width="6.85546875" style="717" customWidth="1"/>
    <col min="15112" max="15112" width="8.85546875" style="717" customWidth="1"/>
    <col min="15113" max="15114" width="9" style="717" customWidth="1"/>
    <col min="15115" max="15115" width="10.140625" style="717" customWidth="1"/>
    <col min="15116" max="15116" width="15.5703125" style="717" customWidth="1"/>
    <col min="15117" max="15117" width="8.5703125" style="717" customWidth="1"/>
    <col min="15118" max="15118" width="11.42578125" style="717" customWidth="1"/>
    <col min="15119" max="15119" width="7.7109375" style="717" customWidth="1"/>
    <col min="15120" max="15121" width="8.28515625" style="717" customWidth="1"/>
    <col min="15122" max="15122" width="9.7109375" style="717" customWidth="1"/>
    <col min="15123" max="15123" width="9.140625" style="717" customWidth="1"/>
    <col min="15124" max="15124" width="9.5703125" style="717" customWidth="1"/>
    <col min="15125" max="15125" width="6.7109375" style="717" customWidth="1"/>
    <col min="15126" max="15126" width="8.7109375" style="717" customWidth="1"/>
    <col min="15127" max="15127" width="9.140625" style="717" customWidth="1"/>
    <col min="15128" max="15128" width="9.7109375" style="717" customWidth="1"/>
    <col min="15129" max="15129" width="10.85546875" style="717"/>
    <col min="15130" max="15130" width="10.140625" style="717" customWidth="1"/>
    <col min="15131" max="15131" width="9.140625" style="717" customWidth="1"/>
    <col min="15132" max="15360" width="10.85546875" style="717"/>
    <col min="15361" max="15361" width="28.7109375" style="717" customWidth="1"/>
    <col min="15362" max="15362" width="8.28515625" style="717" customWidth="1"/>
    <col min="15363" max="15363" width="0" style="717" hidden="1" customWidth="1"/>
    <col min="15364" max="15367" width="6.85546875" style="717" customWidth="1"/>
    <col min="15368" max="15368" width="8.85546875" style="717" customWidth="1"/>
    <col min="15369" max="15370" width="9" style="717" customWidth="1"/>
    <col min="15371" max="15371" width="10.140625" style="717" customWidth="1"/>
    <col min="15372" max="15372" width="15.5703125" style="717" customWidth="1"/>
    <col min="15373" max="15373" width="8.5703125" style="717" customWidth="1"/>
    <col min="15374" max="15374" width="11.42578125" style="717" customWidth="1"/>
    <col min="15375" max="15375" width="7.7109375" style="717" customWidth="1"/>
    <col min="15376" max="15377" width="8.28515625" style="717" customWidth="1"/>
    <col min="15378" max="15378" width="9.7109375" style="717" customWidth="1"/>
    <col min="15379" max="15379" width="9.140625" style="717" customWidth="1"/>
    <col min="15380" max="15380" width="9.5703125" style="717" customWidth="1"/>
    <col min="15381" max="15381" width="6.7109375" style="717" customWidth="1"/>
    <col min="15382" max="15382" width="8.7109375" style="717" customWidth="1"/>
    <col min="15383" max="15383" width="9.140625" style="717" customWidth="1"/>
    <col min="15384" max="15384" width="9.7109375" style="717" customWidth="1"/>
    <col min="15385" max="15385" width="10.85546875" style="717"/>
    <col min="15386" max="15386" width="10.140625" style="717" customWidth="1"/>
    <col min="15387" max="15387" width="9.140625" style="717" customWidth="1"/>
    <col min="15388" max="15616" width="10.85546875" style="717"/>
    <col min="15617" max="15617" width="28.7109375" style="717" customWidth="1"/>
    <col min="15618" max="15618" width="8.28515625" style="717" customWidth="1"/>
    <col min="15619" max="15619" width="0" style="717" hidden="1" customWidth="1"/>
    <col min="15620" max="15623" width="6.85546875" style="717" customWidth="1"/>
    <col min="15624" max="15624" width="8.85546875" style="717" customWidth="1"/>
    <col min="15625" max="15626" width="9" style="717" customWidth="1"/>
    <col min="15627" max="15627" width="10.140625" style="717" customWidth="1"/>
    <col min="15628" max="15628" width="15.5703125" style="717" customWidth="1"/>
    <col min="15629" max="15629" width="8.5703125" style="717" customWidth="1"/>
    <col min="15630" max="15630" width="11.42578125" style="717" customWidth="1"/>
    <col min="15631" max="15631" width="7.7109375" style="717" customWidth="1"/>
    <col min="15632" max="15633" width="8.28515625" style="717" customWidth="1"/>
    <col min="15634" max="15634" width="9.7109375" style="717" customWidth="1"/>
    <col min="15635" max="15635" width="9.140625" style="717" customWidth="1"/>
    <col min="15636" max="15636" width="9.5703125" style="717" customWidth="1"/>
    <col min="15637" max="15637" width="6.7109375" style="717" customWidth="1"/>
    <col min="15638" max="15638" width="8.7109375" style="717" customWidth="1"/>
    <col min="15639" max="15639" width="9.140625" style="717" customWidth="1"/>
    <col min="15640" max="15640" width="9.7109375" style="717" customWidth="1"/>
    <col min="15641" max="15641" width="10.85546875" style="717"/>
    <col min="15642" max="15642" width="10.140625" style="717" customWidth="1"/>
    <col min="15643" max="15643" width="9.140625" style="717" customWidth="1"/>
    <col min="15644" max="15872" width="10.85546875" style="717"/>
    <col min="15873" max="15873" width="28.7109375" style="717" customWidth="1"/>
    <col min="15874" max="15874" width="8.28515625" style="717" customWidth="1"/>
    <col min="15875" max="15875" width="0" style="717" hidden="1" customWidth="1"/>
    <col min="15876" max="15879" width="6.85546875" style="717" customWidth="1"/>
    <col min="15880" max="15880" width="8.85546875" style="717" customWidth="1"/>
    <col min="15881" max="15882" width="9" style="717" customWidth="1"/>
    <col min="15883" max="15883" width="10.140625" style="717" customWidth="1"/>
    <col min="15884" max="15884" width="15.5703125" style="717" customWidth="1"/>
    <col min="15885" max="15885" width="8.5703125" style="717" customWidth="1"/>
    <col min="15886" max="15886" width="11.42578125" style="717" customWidth="1"/>
    <col min="15887" max="15887" width="7.7109375" style="717" customWidth="1"/>
    <col min="15888" max="15889" width="8.28515625" style="717" customWidth="1"/>
    <col min="15890" max="15890" width="9.7109375" style="717" customWidth="1"/>
    <col min="15891" max="15891" width="9.140625" style="717" customWidth="1"/>
    <col min="15892" max="15892" width="9.5703125" style="717" customWidth="1"/>
    <col min="15893" max="15893" width="6.7109375" style="717" customWidth="1"/>
    <col min="15894" max="15894" width="8.7109375" style="717" customWidth="1"/>
    <col min="15895" max="15895" width="9.140625" style="717" customWidth="1"/>
    <col min="15896" max="15896" width="9.7109375" style="717" customWidth="1"/>
    <col min="15897" max="15897" width="10.85546875" style="717"/>
    <col min="15898" max="15898" width="10.140625" style="717" customWidth="1"/>
    <col min="15899" max="15899" width="9.140625" style="717" customWidth="1"/>
    <col min="15900" max="16128" width="10.85546875" style="717"/>
    <col min="16129" max="16129" width="28.7109375" style="717" customWidth="1"/>
    <col min="16130" max="16130" width="8.28515625" style="717" customWidth="1"/>
    <col min="16131" max="16131" width="0" style="717" hidden="1" customWidth="1"/>
    <col min="16132" max="16135" width="6.85546875" style="717" customWidth="1"/>
    <col min="16136" max="16136" width="8.85546875" style="717" customWidth="1"/>
    <col min="16137" max="16138" width="9" style="717" customWidth="1"/>
    <col min="16139" max="16139" width="10.140625" style="717" customWidth="1"/>
    <col min="16140" max="16140" width="15.5703125" style="717" customWidth="1"/>
    <col min="16141" max="16141" width="8.5703125" style="717" customWidth="1"/>
    <col min="16142" max="16142" width="11.42578125" style="717" customWidth="1"/>
    <col min="16143" max="16143" width="7.7109375" style="717" customWidth="1"/>
    <col min="16144" max="16145" width="8.28515625" style="717" customWidth="1"/>
    <col min="16146" max="16146" width="9.7109375" style="717" customWidth="1"/>
    <col min="16147" max="16147" width="9.140625" style="717" customWidth="1"/>
    <col min="16148" max="16148" width="9.5703125" style="717" customWidth="1"/>
    <col min="16149" max="16149" width="6.7109375" style="717" customWidth="1"/>
    <col min="16150" max="16150" width="8.7109375" style="717" customWidth="1"/>
    <col min="16151" max="16151" width="9.140625" style="717" customWidth="1"/>
    <col min="16152" max="16152" width="9.7109375" style="717" customWidth="1"/>
    <col min="16153" max="16153" width="10.85546875" style="717"/>
    <col min="16154" max="16154" width="10.140625" style="717" customWidth="1"/>
    <col min="16155" max="16155" width="9.140625" style="717" customWidth="1"/>
    <col min="16156" max="16384" width="10.85546875" style="717"/>
  </cols>
  <sheetData>
    <row r="1" spans="1:35" ht="16.5" customHeight="1" x14ac:dyDescent="0.25">
      <c r="A1" s="712" t="s">
        <v>1015</v>
      </c>
      <c r="L1" s="715" t="s">
        <v>1016</v>
      </c>
      <c r="M1" s="716" t="s">
        <v>427</v>
      </c>
      <c r="N1"/>
      <c r="O1"/>
      <c r="P1"/>
      <c r="Q1"/>
      <c r="R1"/>
    </row>
    <row r="2" spans="1:35" ht="18" customHeight="1" x14ac:dyDescent="0.2">
      <c r="A2" s="718" t="s">
        <v>1017</v>
      </c>
      <c r="B2" s="719" t="s">
        <v>1018</v>
      </c>
      <c r="C2" s="719" t="s">
        <v>1018</v>
      </c>
      <c r="D2" s="720"/>
      <c r="E2" s="720"/>
      <c r="F2" s="720"/>
      <c r="G2" s="720"/>
      <c r="H2" s="719" t="s">
        <v>430</v>
      </c>
      <c r="L2" s="721" t="s">
        <v>1019</v>
      </c>
      <c r="M2" s="722">
        <v>112.45606798113982</v>
      </c>
      <c r="N2"/>
      <c r="O2" s="722">
        <v>112.45606798113982</v>
      </c>
      <c r="P2"/>
      <c r="Q2"/>
      <c r="R2"/>
      <c r="Z2" s="723"/>
    </row>
    <row r="3" spans="1:35" ht="12.75" customHeight="1" x14ac:dyDescent="0.2">
      <c r="A3" s="718" t="s">
        <v>432</v>
      </c>
      <c r="B3" s="718" t="s">
        <v>433</v>
      </c>
      <c r="C3" s="718" t="s">
        <v>433</v>
      </c>
      <c r="D3" s="718" t="s">
        <v>434</v>
      </c>
      <c r="E3" s="724" t="s">
        <v>435</v>
      </c>
      <c r="F3" s="718" t="s">
        <v>436</v>
      </c>
      <c r="G3" s="725" t="s">
        <v>437</v>
      </c>
      <c r="H3" s="718" t="s">
        <v>433</v>
      </c>
      <c r="L3" s="726" t="s">
        <v>1020</v>
      </c>
      <c r="M3" s="722"/>
      <c r="N3"/>
      <c r="O3" s="722"/>
      <c r="P3"/>
      <c r="Q3"/>
      <c r="R3"/>
      <c r="W3"/>
      <c r="X3"/>
      <c r="Y3"/>
      <c r="Z3"/>
      <c r="AA3"/>
    </row>
    <row r="4" spans="1:35" ht="12.75" customHeight="1" x14ac:dyDescent="0.2">
      <c r="A4" s="727" t="s">
        <v>439</v>
      </c>
      <c r="B4" s="728"/>
      <c r="C4" s="728"/>
      <c r="D4" s="720"/>
      <c r="E4" s="720"/>
      <c r="F4" s="720"/>
      <c r="G4" s="720"/>
      <c r="H4" s="720"/>
      <c r="J4" s="830">
        <f>H5+H15</f>
        <v>23618.667165357077</v>
      </c>
      <c r="K4" s="714" t="s">
        <v>1065</v>
      </c>
      <c r="L4" s="729" t="s">
        <v>1021</v>
      </c>
      <c r="M4" s="722">
        <v>104.03618649965205</v>
      </c>
      <c r="O4" s="722">
        <v>104.03618649965205</v>
      </c>
      <c r="P4"/>
      <c r="Q4"/>
      <c r="W4"/>
      <c r="X4"/>
      <c r="Y4"/>
      <c r="Z4"/>
      <c r="AA4"/>
    </row>
    <row r="5" spans="1:35" ht="12.75" customHeight="1" x14ac:dyDescent="0.2">
      <c r="A5" s="730" t="s">
        <v>1022</v>
      </c>
      <c r="B5" s="731">
        <v>14766.788810156406</v>
      </c>
      <c r="C5" s="731">
        <f>SUM(C6:C8)</f>
        <v>14763.179319347046</v>
      </c>
      <c r="D5" s="732">
        <f t="shared" ref="D5:D19" si="0">H5/B5*100</f>
        <v>113.2211573184691</v>
      </c>
      <c r="E5" s="733">
        <f>M$5</f>
        <v>104.68727940138361</v>
      </c>
      <c r="F5" s="732">
        <f>G5/B5*100</f>
        <v>108.15178115801976</v>
      </c>
      <c r="G5" s="731">
        <f>SUM(G6:G8)</f>
        <v>15970.545118027305</v>
      </c>
      <c r="H5" s="731">
        <f>SUM(H6:H8)</f>
        <v>16719.129189633273</v>
      </c>
      <c r="J5" s="830">
        <f>H36+H39</f>
        <v>15095.150987056611</v>
      </c>
      <c r="K5" s="734" t="s">
        <v>1066</v>
      </c>
      <c r="L5" s="735" t="s">
        <v>442</v>
      </c>
      <c r="M5" s="722">
        <v>104.68727940138361</v>
      </c>
      <c r="O5" s="722">
        <v>104.68727940138361</v>
      </c>
      <c r="P5"/>
      <c r="Q5"/>
      <c r="T5" s="714"/>
      <c r="U5" s="714"/>
      <c r="V5" s="714"/>
      <c r="W5" s="361"/>
      <c r="X5"/>
      <c r="Y5"/>
      <c r="Z5"/>
      <c r="AA5"/>
    </row>
    <row r="6" spans="1:35" ht="12.75" customHeight="1" x14ac:dyDescent="0.2">
      <c r="A6" s="736" t="s">
        <v>443</v>
      </c>
      <c r="B6" s="731">
        <v>10657.514584034665</v>
      </c>
      <c r="C6" s="731">
        <f>C10+C12</f>
        <v>10653.905093225305</v>
      </c>
      <c r="D6" s="732">
        <f t="shared" si="0"/>
        <v>113.30162468981165</v>
      </c>
      <c r="E6" s="733">
        <f t="shared" ref="E6:E14" si="1">M$5</f>
        <v>104.68727940138361</v>
      </c>
      <c r="F6" s="732">
        <f>G6/B6*100</f>
        <v>108.22864567470477</v>
      </c>
      <c r="G6" s="731">
        <f>G10+G12</f>
        <v>11534.483696884861</v>
      </c>
      <c r="H6" s="731">
        <f>H10+H12</f>
        <v>12075.137175264896</v>
      </c>
      <c r="I6" s="325"/>
      <c r="J6" s="325"/>
      <c r="L6" s="737" t="s">
        <v>444</v>
      </c>
      <c r="M6" s="722">
        <v>104.38908659549229</v>
      </c>
      <c r="N6"/>
      <c r="O6" s="722">
        <v>104.38908659549229</v>
      </c>
      <c r="T6" s="361"/>
      <c r="U6" s="361"/>
      <c r="V6" s="361"/>
      <c r="W6" s="361"/>
      <c r="X6"/>
      <c r="Y6"/>
      <c r="Z6"/>
      <c r="AA6"/>
    </row>
    <row r="7" spans="1:35" ht="12.75" customHeight="1" x14ac:dyDescent="0.2">
      <c r="A7" s="736" t="s">
        <v>445</v>
      </c>
      <c r="B7" s="731">
        <v>3918</v>
      </c>
      <c r="C7" s="731">
        <f>C13</f>
        <v>3918</v>
      </c>
      <c r="D7" s="732">
        <f t="shared" si="0"/>
        <v>113.18788648877597</v>
      </c>
      <c r="E7" s="733">
        <f t="shared" si="1"/>
        <v>104.68727940138361</v>
      </c>
      <c r="F7" s="732">
        <f>G7/B7*100</f>
        <v>108.12000000000002</v>
      </c>
      <c r="G7" s="731">
        <f>G13</f>
        <v>4236.1416000000008</v>
      </c>
      <c r="H7" s="731">
        <f>H13</f>
        <v>4434.7013926302425</v>
      </c>
      <c r="I7"/>
      <c r="J7"/>
      <c r="T7" s="361"/>
      <c r="U7" s="361"/>
      <c r="V7" s="361"/>
      <c r="W7" s="361"/>
      <c r="X7"/>
      <c r="Y7"/>
      <c r="Z7"/>
      <c r="AA7"/>
    </row>
    <row r="8" spans="1:35" ht="12.75" customHeight="1" x14ac:dyDescent="0.2">
      <c r="A8" s="736" t="s">
        <v>104</v>
      </c>
      <c r="B8" s="731">
        <v>191.27422612173999</v>
      </c>
      <c r="C8" s="731">
        <f>C14</f>
        <v>191.27422612173999</v>
      </c>
      <c r="D8" s="732">
        <f t="shared" si="0"/>
        <v>109.41914443032617</v>
      </c>
      <c r="E8" s="733">
        <f t="shared" si="1"/>
        <v>104.68727940138361</v>
      </c>
      <c r="F8" s="732">
        <f>G8/B8*100</f>
        <v>104.52000000000001</v>
      </c>
      <c r="G8" s="731">
        <f>G14</f>
        <v>199.91982114244266</v>
      </c>
      <c r="H8" s="731">
        <f>H14</f>
        <v>209.29062173813531</v>
      </c>
      <c r="I8"/>
      <c r="J8"/>
      <c r="L8" s="738" t="s">
        <v>1023</v>
      </c>
      <c r="S8"/>
      <c r="T8" s="361"/>
      <c r="U8" s="361"/>
      <c r="V8" s="361"/>
      <c r="W8" s="361"/>
      <c r="X8"/>
      <c r="Y8"/>
      <c r="Z8"/>
      <c r="AA8"/>
    </row>
    <row r="9" spans="1:35" ht="12.75" customHeight="1" x14ac:dyDescent="0.2">
      <c r="A9" s="739" t="s">
        <v>448</v>
      </c>
      <c r="B9" s="731">
        <v>8248.8016399979952</v>
      </c>
      <c r="C9" s="731">
        <f>C10</f>
        <v>8245.1038899106534</v>
      </c>
      <c r="D9" s="732">
        <f t="shared" si="0"/>
        <v>114.49647748129324</v>
      </c>
      <c r="E9" s="733">
        <f t="shared" si="1"/>
        <v>104.68727940138361</v>
      </c>
      <c r="F9" s="740">
        <f>F10</f>
        <v>109.36999999999999</v>
      </c>
      <c r="G9" s="731">
        <f>G10</f>
        <v>9021.7143536658077</v>
      </c>
      <c r="H9" s="731">
        <f>H10</f>
        <v>9444.5873122168523</v>
      </c>
      <c r="I9"/>
      <c r="J9"/>
      <c r="O9"/>
      <c r="P9"/>
      <c r="Q9" s="741" t="s">
        <v>1024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2.75" customHeight="1" x14ac:dyDescent="0.2">
      <c r="A10" s="742" t="s">
        <v>95</v>
      </c>
      <c r="B10" s="728">
        <v>8248.8016399979952</v>
      </c>
      <c r="C10" s="728">
        <f>B10/B$70*13400-4</f>
        <v>8245.1038899106534</v>
      </c>
      <c r="D10" s="743">
        <f t="shared" si="0"/>
        <v>114.49647748129324</v>
      </c>
      <c r="E10" s="733">
        <f t="shared" si="1"/>
        <v>104.68727940138361</v>
      </c>
      <c r="F10" s="744">
        <f>O15-4.7</f>
        <v>109.36999999999999</v>
      </c>
      <c r="G10" s="728">
        <f>H10/E10*100</f>
        <v>9021.7143536658077</v>
      </c>
      <c r="H10" s="728">
        <f>B10*F10/100*E10/100</f>
        <v>9444.5873122168523</v>
      </c>
      <c r="I10" s="599"/>
      <c r="J10" s="599"/>
      <c r="M10" s="745"/>
      <c r="N10" s="746"/>
      <c r="O10" s="747" t="s">
        <v>460</v>
      </c>
      <c r="P10" s="747" t="s">
        <v>460</v>
      </c>
      <c r="Q10" s="748" t="s">
        <v>460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2.75" customHeight="1" x14ac:dyDescent="0.2">
      <c r="A11" s="739" t="s">
        <v>451</v>
      </c>
      <c r="B11" s="731">
        <v>6517.9871701584098</v>
      </c>
      <c r="C11" s="731">
        <f>SUM(C12:C14)</f>
        <v>6518.0754294363915</v>
      </c>
      <c r="D11" s="732">
        <f t="shared" si="0"/>
        <v>111.60718313042682</v>
      </c>
      <c r="E11" s="733">
        <f t="shared" si="1"/>
        <v>104.68727940138361</v>
      </c>
      <c r="F11" s="732">
        <f>G11/B11*100</f>
        <v>106.61007122222696</v>
      </c>
      <c r="G11" s="731">
        <f>SUM(G12:G14)</f>
        <v>6948.8307643614971</v>
      </c>
      <c r="H11" s="731">
        <f>SUM(H12:H14)</f>
        <v>7274.5418774164209</v>
      </c>
      <c r="I11"/>
      <c r="J11"/>
      <c r="L11" s="749"/>
      <c r="M11" s="750"/>
      <c r="N11" s="751" t="s">
        <v>462</v>
      </c>
      <c r="O11" s="752" t="s">
        <v>463</v>
      </c>
      <c r="P11" s="752" t="s">
        <v>464</v>
      </c>
      <c r="Q11" s="753" t="s">
        <v>465</v>
      </c>
      <c r="R11" s="713" t="s">
        <v>466</v>
      </c>
      <c r="S11" s="754"/>
      <c r="T11" s="755" t="s">
        <v>445</v>
      </c>
      <c r="U11" s="331">
        <v>11587.396081724646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2.75" customHeight="1" x14ac:dyDescent="0.2">
      <c r="A12" s="742" t="s">
        <v>443</v>
      </c>
      <c r="B12" s="728">
        <v>2408.7129440366698</v>
      </c>
      <c r="C12" s="728">
        <f>B12/B$70*13400</f>
        <v>2408.801203314651</v>
      </c>
      <c r="D12" s="743">
        <f t="shared" si="0"/>
        <v>109.20976987152338</v>
      </c>
      <c r="E12" s="733">
        <f t="shared" si="1"/>
        <v>104.68727940138361</v>
      </c>
      <c r="F12" s="744">
        <f>P15-2.6</f>
        <v>104.32000000000001</v>
      </c>
      <c r="G12" s="728">
        <f>H12/E12*100</f>
        <v>2512.769343219054</v>
      </c>
      <c r="H12" s="728">
        <f>B12*F12/100*E12/100</f>
        <v>2630.5498630480429</v>
      </c>
      <c r="I12" s="599"/>
      <c r="J12" s="599"/>
      <c r="L12" s="756"/>
      <c r="M12" s="757"/>
      <c r="N12" s="355" t="s">
        <v>467</v>
      </c>
      <c r="O12" s="356">
        <v>97.15</v>
      </c>
      <c r="P12" s="356">
        <v>101.44</v>
      </c>
      <c r="Q12" s="356">
        <v>99.7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2.75" customHeight="1" x14ac:dyDescent="0.2">
      <c r="A13" s="742" t="s">
        <v>445</v>
      </c>
      <c r="B13" s="728">
        <v>3918</v>
      </c>
      <c r="C13" s="728">
        <v>3918</v>
      </c>
      <c r="D13" s="743">
        <f t="shared" si="0"/>
        <v>113.18788648877597</v>
      </c>
      <c r="E13" s="733">
        <f t="shared" si="1"/>
        <v>104.68727940138361</v>
      </c>
      <c r="F13" s="758">
        <f>P15+1.2</f>
        <v>108.12</v>
      </c>
      <c r="G13" s="728">
        <f>H13/E13*100</f>
        <v>4236.1416000000008</v>
      </c>
      <c r="H13" s="759">
        <f>B13*F13/100*E13/100</f>
        <v>4434.7013926302425</v>
      </c>
      <c r="I13"/>
      <c r="J13"/>
      <c r="L13" s="760" t="s">
        <v>469</v>
      </c>
      <c r="M13" s="757"/>
      <c r="N13" s="355" t="s">
        <v>470</v>
      </c>
      <c r="O13" s="356">
        <v>79.345850999394301</v>
      </c>
      <c r="P13" s="356">
        <v>81.150793650793645</v>
      </c>
      <c r="Q13" s="356">
        <v>80.436346199952041</v>
      </c>
      <c r="R13" s="761" t="s">
        <v>1025</v>
      </c>
      <c r="S13" s="762"/>
      <c r="T13" s="76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2.75" customHeight="1" x14ac:dyDescent="0.2">
      <c r="A14" s="742" t="s">
        <v>104</v>
      </c>
      <c r="B14" s="728">
        <v>191.27422612173999</v>
      </c>
      <c r="C14" s="731">
        <f>B14/B$72*4691.5</f>
        <v>191.27422612173999</v>
      </c>
      <c r="D14" s="743">
        <f t="shared" si="0"/>
        <v>109.41914443032617</v>
      </c>
      <c r="E14" s="733">
        <f t="shared" si="1"/>
        <v>104.68727940138361</v>
      </c>
      <c r="F14" s="758">
        <f>P15-2.4</f>
        <v>104.52</v>
      </c>
      <c r="G14" s="728">
        <f>H14/E14*100</f>
        <v>199.91982114244266</v>
      </c>
      <c r="H14" s="728">
        <f>B14*F14/100*E14/100</f>
        <v>209.29062173813531</v>
      </c>
      <c r="I14"/>
      <c r="J14"/>
      <c r="L14" s="760" t="s">
        <v>471</v>
      </c>
      <c r="M14" s="757"/>
      <c r="N14" s="355" t="s">
        <v>472</v>
      </c>
      <c r="O14" s="356">
        <v>77.900000000000006</v>
      </c>
      <c r="P14" s="356">
        <v>78.400000000000006</v>
      </c>
      <c r="Q14" s="356">
        <v>78</v>
      </c>
      <c r="R14" s="764">
        <f>1.004*O15</f>
        <v>114.52628</v>
      </c>
      <c r="S14" s="765">
        <f>1.009*P15</f>
        <v>107.88227999999999</v>
      </c>
      <c r="T14" s="766">
        <f>(1.004+1.009)/2*Q15</f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2.75" customHeight="1" x14ac:dyDescent="0.2">
      <c r="A15" s="730" t="s">
        <v>1026</v>
      </c>
      <c r="B15" s="731">
        <v>6184.0998936623573</v>
      </c>
      <c r="C15" s="731">
        <f>SUM(C16:C18)</f>
        <v>6182.2638173219875</v>
      </c>
      <c r="D15" s="732">
        <f t="shared" si="0"/>
        <v>111.56899297171199</v>
      </c>
      <c r="E15" s="733">
        <f t="shared" ref="E15:E24" si="2">M$6</f>
        <v>104.38908659549229</v>
      </c>
      <c r="F15" s="732">
        <f t="shared" ref="F15:F34" si="3">G15/B15*100</f>
        <v>106.87802394903774</v>
      </c>
      <c r="G15" s="731">
        <f>SUM(G16:G18)</f>
        <v>6609.4437653808709</v>
      </c>
      <c r="H15" s="731">
        <f>SUM(H16:H18)</f>
        <v>6899.5379757238043</v>
      </c>
      <c r="I15"/>
      <c r="J15"/>
      <c r="L15" s="767"/>
      <c r="M15" s="768"/>
      <c r="N15" s="355" t="s">
        <v>473</v>
      </c>
      <c r="O15" s="356">
        <v>114.07</v>
      </c>
      <c r="P15" s="356">
        <v>106.92</v>
      </c>
      <c r="Q15" s="356"/>
      <c r="R15" s="714">
        <v>104.3</v>
      </c>
      <c r="S15" s="395">
        <v>104.75</v>
      </c>
      <c r="T15" s="769">
        <v>101.7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2.75" customHeight="1" x14ac:dyDescent="0.2">
      <c r="A16" s="736" t="s">
        <v>95</v>
      </c>
      <c r="B16" s="731">
        <v>4473.694435504467</v>
      </c>
      <c r="C16" s="731">
        <f>C20+C22</f>
        <v>4471.8583591640972</v>
      </c>
      <c r="D16" s="732">
        <f t="shared" si="0"/>
        <v>112.3411169796815</v>
      </c>
      <c r="E16" s="733">
        <f t="shared" si="2"/>
        <v>104.38908659549229</v>
      </c>
      <c r="F16" s="740">
        <f t="shared" si="3"/>
        <v>107.6176836521267</v>
      </c>
      <c r="G16" s="731">
        <f>G20+G22</f>
        <v>4814.4863251639927</v>
      </c>
      <c r="H16" s="731">
        <f>H20+H22</f>
        <v>5025.7982991035751</v>
      </c>
      <c r="I16"/>
      <c r="J16"/>
      <c r="L16" s="770" t="s">
        <v>1027</v>
      </c>
      <c r="S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2.75" customHeight="1" x14ac:dyDescent="0.2">
      <c r="A17" s="736" t="s">
        <v>445</v>
      </c>
      <c r="B17" s="731">
        <v>1576</v>
      </c>
      <c r="C17" s="731">
        <f>C23</f>
        <v>1576</v>
      </c>
      <c r="D17" s="743">
        <f t="shared" si="0"/>
        <v>110.25682087781732</v>
      </c>
      <c r="E17" s="733">
        <f t="shared" si="2"/>
        <v>104.38908659549229</v>
      </c>
      <c r="F17" s="771">
        <f t="shared" si="3"/>
        <v>105.62102272727272</v>
      </c>
      <c r="G17" s="731">
        <f>G23</f>
        <v>1664.5873181818181</v>
      </c>
      <c r="H17" s="731">
        <f>H23</f>
        <v>1737.6474970344009</v>
      </c>
      <c r="I17"/>
      <c r="J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2.75" customHeight="1" x14ac:dyDescent="0.2">
      <c r="A18" s="736" t="s">
        <v>104</v>
      </c>
      <c r="B18" s="731">
        <v>134.40545815789039</v>
      </c>
      <c r="C18" s="731">
        <f>C24</f>
        <v>134.40545815789039</v>
      </c>
      <c r="D18" s="743">
        <f t="shared" si="0"/>
        <v>101.25495009730673</v>
      </c>
      <c r="E18" s="733">
        <f t="shared" si="2"/>
        <v>104.38908659549229</v>
      </c>
      <c r="F18" s="771">
        <f t="shared" si="3"/>
        <v>96.997639695488175</v>
      </c>
      <c r="G18" s="731">
        <f>G24</f>
        <v>130.37012203506063</v>
      </c>
      <c r="H18" s="731">
        <f>H24</f>
        <v>136.0921795858284</v>
      </c>
      <c r="I18"/>
      <c r="J18"/>
      <c r="L18" s="772" t="s">
        <v>474</v>
      </c>
      <c r="R18"/>
      <c r="S18" s="741" t="s">
        <v>473</v>
      </c>
      <c r="T18"/>
      <c r="U18"/>
      <c r="V18"/>
      <c r="W18"/>
      <c r="X18" s="384"/>
      <c r="Y18" s="384"/>
      <c r="Z18" s="384"/>
      <c r="AA18"/>
      <c r="AB18"/>
      <c r="AC18"/>
      <c r="AD18"/>
      <c r="AE18"/>
      <c r="AF18"/>
      <c r="AG18"/>
      <c r="AH18"/>
      <c r="AI18"/>
    </row>
    <row r="19" spans="1:35" ht="12.75" customHeight="1" x14ac:dyDescent="0.2">
      <c r="A19" s="739" t="s">
        <v>448</v>
      </c>
      <c r="B19" s="731">
        <v>3713.3602078947333</v>
      </c>
      <c r="C19" s="731">
        <f>C20</f>
        <v>3711.4962716343516</v>
      </c>
      <c r="D19" s="732">
        <f t="shared" si="0"/>
        <v>112.79999999999998</v>
      </c>
      <c r="E19" s="733">
        <f t="shared" si="2"/>
        <v>104.38908659549229</v>
      </c>
      <c r="F19" s="771">
        <f t="shared" si="3"/>
        <v>108.05727272727272</v>
      </c>
      <c r="G19" s="731">
        <f>G20</f>
        <v>4012.5557671908332</v>
      </c>
      <c r="H19" s="731">
        <f>H20</f>
        <v>4188.6703145052588</v>
      </c>
      <c r="I19"/>
      <c r="J19"/>
      <c r="L19" s="773"/>
      <c r="M19" s="774" t="s">
        <v>475</v>
      </c>
      <c r="N19" s="775" t="s">
        <v>476</v>
      </c>
      <c r="O19" s="379" t="s">
        <v>477</v>
      </c>
      <c r="P19" s="379" t="s">
        <v>478</v>
      </c>
      <c r="Q19" s="379" t="s">
        <v>479</v>
      </c>
      <c r="R19" s="380" t="s">
        <v>480</v>
      </c>
      <c r="S19" s="380" t="s">
        <v>481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2.75" customHeight="1" x14ac:dyDescent="0.2">
      <c r="A20" s="742" t="s">
        <v>95</v>
      </c>
      <c r="B20" s="728">
        <v>3713.3602078947333</v>
      </c>
      <c r="C20" s="728">
        <f>B20/B$70*13400-2</f>
        <v>3711.4962716343516</v>
      </c>
      <c r="D20" s="776">
        <f>117-4.2</f>
        <v>112.8</v>
      </c>
      <c r="E20" s="777">
        <f t="shared" si="2"/>
        <v>104.38908659549229</v>
      </c>
      <c r="F20" s="771">
        <f t="shared" si="3"/>
        <v>108.05727272727272</v>
      </c>
      <c r="G20" s="728">
        <f>H20/E20*100</f>
        <v>4012.5557671908332</v>
      </c>
      <c r="H20" s="728">
        <f>B20*D20/100</f>
        <v>4188.6703145052588</v>
      </c>
      <c r="I20"/>
      <c r="J20"/>
      <c r="L20" s="778"/>
      <c r="M20" s="779" t="s">
        <v>95</v>
      </c>
      <c r="N20" s="780" t="s">
        <v>482</v>
      </c>
      <c r="O20" s="384">
        <v>41.371215746058461</v>
      </c>
      <c r="P20" s="385">
        <v>35.970305702645057</v>
      </c>
      <c r="Q20" s="384">
        <v>41.874960406536985</v>
      </c>
      <c r="R20" s="386">
        <f t="shared" ref="R20:S25" si="4">P20/O20*100</f>
        <v>86.945246964544523</v>
      </c>
      <c r="S20" s="387">
        <f>Q20/P20*100</f>
        <v>116.4153586925388</v>
      </c>
      <c r="T20"/>
      <c r="U20" s="781"/>
      <c r="V20" s="781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2.75" customHeight="1" x14ac:dyDescent="0.2">
      <c r="A21" s="739" t="s">
        <v>451</v>
      </c>
      <c r="B21" s="728">
        <v>2470.7396857676235</v>
      </c>
      <c r="C21" s="728">
        <f>SUM(C22:C24)</f>
        <v>2470.7675456876359</v>
      </c>
      <c r="D21" s="743">
        <f>H21/B21*100</f>
        <v>109.7188698928563</v>
      </c>
      <c r="E21" s="777">
        <f t="shared" si="2"/>
        <v>104.38908659549229</v>
      </c>
      <c r="F21" s="771">
        <f t="shared" si="3"/>
        <v>105.10569013599758</v>
      </c>
      <c r="G21" s="731">
        <f>SUM(G22:G24)</f>
        <v>2596.8879981900386</v>
      </c>
      <c r="H21" s="731">
        <f>SUM(H22:H24)</f>
        <v>2710.8676612185454</v>
      </c>
      <c r="I21"/>
      <c r="J21"/>
      <c r="L21" s="782" t="s">
        <v>469</v>
      </c>
      <c r="M21" s="779"/>
      <c r="N21" s="780" t="s">
        <v>483</v>
      </c>
      <c r="O21" s="384">
        <v>45.792231493136093</v>
      </c>
      <c r="P21" s="384">
        <v>42.426536507861215</v>
      </c>
      <c r="Q21" s="384">
        <v>51.804607866161362</v>
      </c>
      <c r="R21" s="386">
        <f t="shared" si="4"/>
        <v>92.650074312758989</v>
      </c>
      <c r="S21" s="387">
        <f>Q21/P21*100</f>
        <v>122.10425863200614</v>
      </c>
      <c r="T21" s="386">
        <f>(S21+T30)/2</f>
        <v>116.43053975491173</v>
      </c>
      <c r="U21" s="781"/>
      <c r="V21" s="781"/>
      <c r="W21"/>
      <c r="X21" s="384"/>
      <c r="Y21" s="384"/>
      <c r="Z21" s="384"/>
      <c r="AA21"/>
      <c r="AB21"/>
      <c r="AC21"/>
      <c r="AD21"/>
      <c r="AE21"/>
      <c r="AF21"/>
      <c r="AG21"/>
      <c r="AH21"/>
      <c r="AI21"/>
    </row>
    <row r="22" spans="1:35" ht="12.75" customHeight="1" x14ac:dyDescent="0.2">
      <c r="A22" s="742" t="s">
        <v>95</v>
      </c>
      <c r="B22" s="728">
        <v>760.33422760973326</v>
      </c>
      <c r="C22" s="728">
        <f>B22/B$70*13400</f>
        <v>760.36208752974539</v>
      </c>
      <c r="D22" s="776">
        <f>D20-2.7</f>
        <v>110.1</v>
      </c>
      <c r="E22" s="777">
        <f t="shared" si="2"/>
        <v>104.38908659549229</v>
      </c>
      <c r="F22" s="771">
        <f t="shared" si="3"/>
        <v>105.47079545454548</v>
      </c>
      <c r="G22" s="728">
        <f>H22/E22*100</f>
        <v>801.93055797315992</v>
      </c>
      <c r="H22" s="728">
        <f>B22*D22/100</f>
        <v>837.12798459831629</v>
      </c>
      <c r="I22"/>
      <c r="J22"/>
      <c r="L22" s="782" t="s">
        <v>484</v>
      </c>
      <c r="M22" s="779"/>
      <c r="N22" s="783" t="s">
        <v>126</v>
      </c>
      <c r="O22" s="390">
        <f>SUM(O20:O21)</f>
        <v>87.163447239194554</v>
      </c>
      <c r="P22" s="390">
        <f>SUM(P20:P21)</f>
        <v>78.396842210506264</v>
      </c>
      <c r="Q22" s="390">
        <f>SUM(Q20:Q21)</f>
        <v>93.679568272698347</v>
      </c>
      <c r="R22" s="390">
        <f t="shared" si="4"/>
        <v>89.942337864826627</v>
      </c>
      <c r="S22" s="390">
        <f t="shared" si="4"/>
        <v>119.4940582187684</v>
      </c>
      <c r="T22" s="386"/>
      <c r="U22"/>
      <c r="V22"/>
      <c r="X22" s="384"/>
      <c r="Y22" s="384"/>
      <c r="Z22" s="384"/>
      <c r="AA22"/>
      <c r="AB22"/>
      <c r="AC22"/>
      <c r="AD22"/>
      <c r="AE22"/>
      <c r="AF22"/>
      <c r="AG22"/>
      <c r="AH22"/>
      <c r="AI22"/>
    </row>
    <row r="23" spans="1:35" ht="12.75" customHeight="1" x14ac:dyDescent="0.2">
      <c r="A23" s="742" t="s">
        <v>445</v>
      </c>
      <c r="B23" s="728">
        <v>1576</v>
      </c>
      <c r="C23" s="728">
        <v>1576</v>
      </c>
      <c r="D23" s="776">
        <f>T30-0.5</f>
        <v>110.25682087781732</v>
      </c>
      <c r="E23" s="777">
        <f t="shared" si="2"/>
        <v>104.38908659549229</v>
      </c>
      <c r="F23" s="771">
        <f t="shared" si="3"/>
        <v>105.62102272727272</v>
      </c>
      <c r="G23" s="728">
        <f>H23/E23*100</f>
        <v>1664.5873181818181</v>
      </c>
      <c r="H23" s="759">
        <f>B23*D23/100</f>
        <v>1737.6474970344009</v>
      </c>
      <c r="I23"/>
      <c r="J23"/>
      <c r="L23" s="778"/>
      <c r="M23" s="779" t="s">
        <v>486</v>
      </c>
      <c r="N23" s="780" t="s">
        <v>482</v>
      </c>
      <c r="O23" s="384">
        <v>16.741612281294138</v>
      </c>
      <c r="P23" s="384">
        <v>14.354042829783841</v>
      </c>
      <c r="Q23" s="384">
        <v>16.243707834915476</v>
      </c>
      <c r="R23" s="386">
        <f t="shared" si="4"/>
        <v>85.738712548145713</v>
      </c>
      <c r="S23" s="387">
        <f t="shared" si="4"/>
        <v>113.16468835672333</v>
      </c>
      <c r="T23" s="386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2.75" customHeight="1" x14ac:dyDescent="0.2">
      <c r="A24" s="742" t="s">
        <v>104</v>
      </c>
      <c r="B24" s="728">
        <v>134.40545815789039</v>
      </c>
      <c r="C24" s="731">
        <f>B24/B$72*4691.5</f>
        <v>134.40545815789039</v>
      </c>
      <c r="D24" s="776">
        <f>(S24+T30)/2-3.5</f>
        <v>101.25495009730673</v>
      </c>
      <c r="E24" s="777">
        <f t="shared" si="2"/>
        <v>104.38908659549229</v>
      </c>
      <c r="F24" s="771">
        <f t="shared" si="3"/>
        <v>96.997639695488175</v>
      </c>
      <c r="G24" s="728">
        <f>H24/E24*100</f>
        <v>130.37012203506063</v>
      </c>
      <c r="H24" s="728">
        <f>B24*D24/100</f>
        <v>136.0921795858284</v>
      </c>
      <c r="I24"/>
      <c r="J24"/>
      <c r="L24" s="784"/>
      <c r="M24" s="785"/>
      <c r="N24" s="786" t="s">
        <v>483</v>
      </c>
      <c r="O24" s="384">
        <v>4.8129810315720194</v>
      </c>
      <c r="P24" s="385">
        <v>2.9886290140128011</v>
      </c>
      <c r="Q24" s="384">
        <v>2.951363180692844</v>
      </c>
      <c r="R24" s="386">
        <f t="shared" si="4"/>
        <v>62.095175410168878</v>
      </c>
      <c r="S24" s="387">
        <f t="shared" si="4"/>
        <v>98.753079316796146</v>
      </c>
      <c r="T24" s="386">
        <f>(S24+T30)/2</f>
        <v>104.75495009730673</v>
      </c>
      <c r="U24"/>
      <c r="V24"/>
      <c r="W24" s="717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2.75" customHeight="1" x14ac:dyDescent="0.2">
      <c r="A25" s="787" t="s">
        <v>490</v>
      </c>
      <c r="B25" s="731">
        <v>20950.888703818764</v>
      </c>
      <c r="C25" s="731">
        <f>SUM(C26:C28)</f>
        <v>20945.443136669033</v>
      </c>
      <c r="D25" s="732">
        <f t="shared" ref="D25:D34" si="5">H25/B25*100</f>
        <v>112.73348591199404</v>
      </c>
      <c r="E25" s="732">
        <f t="shared" ref="E25:E34" si="6">H25/G25*100</f>
        <v>104.59999465594123</v>
      </c>
      <c r="F25" s="732">
        <f t="shared" si="3"/>
        <v>107.77580465735792</v>
      </c>
      <c r="G25" s="731">
        <f>SUM(G26:G28)</f>
        <v>22579.988883408176</v>
      </c>
      <c r="H25" s="731">
        <f>SUM(H26:H28)</f>
        <v>23618.667165357077</v>
      </c>
      <c r="I25"/>
      <c r="J25"/>
      <c r="L25" s="769"/>
      <c r="M25" s="769"/>
      <c r="N25" s="788" t="s">
        <v>126</v>
      </c>
      <c r="O25" s="390">
        <f>SUM(O23:O24)</f>
        <v>21.554593312866157</v>
      </c>
      <c r="P25" s="390">
        <f>SUM(P23:P24)</f>
        <v>17.342671843796644</v>
      </c>
      <c r="Q25" s="390">
        <f>SUM(Q23:Q24)</f>
        <v>19.19507101560832</v>
      </c>
      <c r="R25" s="390">
        <f t="shared" si="4"/>
        <v>80.459285833264261</v>
      </c>
      <c r="S25" s="397">
        <f t="shared" si="4"/>
        <v>110.68116371281202</v>
      </c>
      <c r="T25" s="305"/>
      <c r="X25" s="337"/>
      <c r="Y25" s="337"/>
      <c r="Z25"/>
      <c r="AA25"/>
    </row>
    <row r="26" spans="1:35" ht="12.75" customHeight="1" x14ac:dyDescent="0.2">
      <c r="A26" s="736" t="s">
        <v>443</v>
      </c>
      <c r="B26" s="731">
        <v>15131.209019539132</v>
      </c>
      <c r="C26" s="731">
        <f t="shared" ref="C26:C34" si="7">C6+C16</f>
        <v>15125.763452389401</v>
      </c>
      <c r="D26" s="732">
        <f t="shared" si="5"/>
        <v>113.01764090553374</v>
      </c>
      <c r="E26" s="732">
        <f t="shared" si="6"/>
        <v>104.5994668245491</v>
      </c>
      <c r="F26" s="732">
        <f t="shared" si="3"/>
        <v>108.04800859559344</v>
      </c>
      <c r="G26" s="731">
        <f t="shared" ref="G26:H34" si="8">G6+G16</f>
        <v>16348.970022048854</v>
      </c>
      <c r="H26" s="731">
        <f>H6+H16</f>
        <v>17100.935474368471</v>
      </c>
      <c r="I26" s="325"/>
      <c r="J26" s="325"/>
      <c r="L26" s="789"/>
      <c r="M26" s="769"/>
      <c r="N26" s="769"/>
      <c r="O26"/>
      <c r="P26"/>
      <c r="Q26" s="769"/>
      <c r="R26" s="790" t="s">
        <v>1028</v>
      </c>
      <c r="S26" s="791"/>
      <c r="U26" s="792"/>
      <c r="V26" s="741" t="s">
        <v>473</v>
      </c>
      <c r="Y26"/>
      <c r="Z26"/>
      <c r="AA26"/>
      <c r="AB26"/>
      <c r="AC26"/>
      <c r="AD26"/>
      <c r="AE26"/>
    </row>
    <row r="27" spans="1:35" ht="12.75" customHeight="1" x14ac:dyDescent="0.2">
      <c r="A27" s="736" t="s">
        <v>445</v>
      </c>
      <c r="B27" s="731">
        <v>5494</v>
      </c>
      <c r="C27" s="731">
        <f t="shared" si="7"/>
        <v>5494</v>
      </c>
      <c r="D27" s="732">
        <f t="shared" si="5"/>
        <v>112.3470857237831</v>
      </c>
      <c r="E27" s="732">
        <f t="shared" si="6"/>
        <v>104.60315963076843</v>
      </c>
      <c r="F27" s="732">
        <f t="shared" si="3"/>
        <v>107.40314740046995</v>
      </c>
      <c r="G27" s="731">
        <f t="shared" si="8"/>
        <v>5900.7289181818187</v>
      </c>
      <c r="H27" s="731">
        <f t="shared" si="8"/>
        <v>6172.3488896646431</v>
      </c>
      <c r="R27" s="793"/>
      <c r="S27" s="794" t="s">
        <v>436</v>
      </c>
      <c r="T27" s="795" t="s">
        <v>434</v>
      </c>
      <c r="U27" s="795" t="s">
        <v>435</v>
      </c>
      <c r="V27" s="796"/>
      <c r="Y27"/>
      <c r="Z27"/>
      <c r="AA27"/>
      <c r="AB27"/>
      <c r="AC27"/>
      <c r="AD27"/>
      <c r="AE27"/>
    </row>
    <row r="28" spans="1:35" ht="12.75" customHeight="1" x14ac:dyDescent="0.2">
      <c r="A28" s="736" t="s">
        <v>104</v>
      </c>
      <c r="B28" s="731">
        <v>325.67968427963035</v>
      </c>
      <c r="C28" s="731">
        <f t="shared" si="7"/>
        <v>325.67968427963035</v>
      </c>
      <c r="D28" s="732">
        <f t="shared" si="5"/>
        <v>106.04984529136799</v>
      </c>
      <c r="E28" s="732">
        <f t="shared" si="6"/>
        <v>104.56957847437374</v>
      </c>
      <c r="F28" s="732">
        <f t="shared" si="3"/>
        <v>101.41558074402779</v>
      </c>
      <c r="G28" s="731">
        <f t="shared" si="8"/>
        <v>330.28994317750329</v>
      </c>
      <c r="H28" s="731">
        <f t="shared" si="8"/>
        <v>345.38280132396369</v>
      </c>
      <c r="L28" s="427" t="s">
        <v>1029</v>
      </c>
      <c r="M28" s="797"/>
      <c r="N28" s="428" t="s">
        <v>500</v>
      </c>
      <c r="O28"/>
      <c r="P28"/>
      <c r="Q28" s="798"/>
      <c r="R28" s="799" t="s">
        <v>492</v>
      </c>
      <c r="S28" s="800">
        <v>124.1</v>
      </c>
      <c r="T28" s="801">
        <f>U28*S28/100</f>
        <v>129.91691373711706</v>
      </c>
      <c r="U28" s="801">
        <f>M$5</f>
        <v>104.68727940138361</v>
      </c>
      <c r="V28" s="802"/>
      <c r="Y28"/>
      <c r="Z28"/>
      <c r="AA28"/>
      <c r="AB28"/>
      <c r="AC28"/>
      <c r="AD28"/>
      <c r="AE28"/>
    </row>
    <row r="29" spans="1:35" ht="12.75" customHeight="1" x14ac:dyDescent="0.2">
      <c r="A29" s="803" t="s">
        <v>448</v>
      </c>
      <c r="B29" s="731">
        <v>11962.161847892728</v>
      </c>
      <c r="C29" s="731">
        <f t="shared" si="7"/>
        <v>11956.600161545004</v>
      </c>
      <c r="D29" s="732">
        <f t="shared" si="5"/>
        <v>113.96984759175255</v>
      </c>
      <c r="E29" s="732">
        <f t="shared" si="6"/>
        <v>104.59548175932774</v>
      </c>
      <c r="F29" s="732">
        <f t="shared" si="3"/>
        <v>108.96249596516516</v>
      </c>
      <c r="G29" s="731">
        <f t="shared" si="8"/>
        <v>13034.270120856641</v>
      </c>
      <c r="H29" s="731">
        <f>H9+H19</f>
        <v>13633.257626722112</v>
      </c>
      <c r="M29" s="395"/>
      <c r="N29" s="395" t="s">
        <v>503</v>
      </c>
      <c r="O29" s="395" t="s">
        <v>504</v>
      </c>
      <c r="R29" s="799" t="s">
        <v>494</v>
      </c>
      <c r="S29" s="800">
        <v>115.7</v>
      </c>
      <c r="T29" s="801">
        <f>U29*S29/100</f>
        <v>120.36986778009742</v>
      </c>
      <c r="U29" s="413">
        <f>M4</f>
        <v>104.03618649965205</v>
      </c>
      <c r="V29" s="802"/>
      <c r="Y29"/>
      <c r="Z29"/>
      <c r="AA29"/>
      <c r="AB29"/>
      <c r="AC29"/>
      <c r="AD29"/>
      <c r="AE29"/>
    </row>
    <row r="30" spans="1:35" ht="12.75" customHeight="1" x14ac:dyDescent="0.2">
      <c r="A30" s="736" t="s">
        <v>95</v>
      </c>
      <c r="B30" s="731">
        <v>11962.161847892728</v>
      </c>
      <c r="C30" s="731">
        <f t="shared" si="7"/>
        <v>11956.600161545004</v>
      </c>
      <c r="D30" s="732">
        <f t="shared" si="5"/>
        <v>113.96984759175255</v>
      </c>
      <c r="E30" s="732">
        <f t="shared" si="6"/>
        <v>104.59548175932774</v>
      </c>
      <c r="F30" s="732">
        <f t="shared" si="3"/>
        <v>108.96249596516516</v>
      </c>
      <c r="G30" s="731">
        <f t="shared" si="8"/>
        <v>13034.270120856641</v>
      </c>
      <c r="H30" s="731">
        <f>H10+H20</f>
        <v>13633.257626722112</v>
      </c>
      <c r="L30" s="804" t="s">
        <v>469</v>
      </c>
      <c r="M30" s="432" t="s">
        <v>505</v>
      </c>
      <c r="N30" s="433">
        <v>110.3</v>
      </c>
      <c r="O30" s="433"/>
      <c r="R30" s="778" t="s">
        <v>495</v>
      </c>
      <c r="S30" s="416">
        <v>106.1</v>
      </c>
      <c r="T30" s="801">
        <f>U30*S30/100</f>
        <v>110.75682087781732</v>
      </c>
      <c r="U30" s="801">
        <f>M6</f>
        <v>104.38908659549229</v>
      </c>
      <c r="V30" s="802"/>
      <c r="Y30"/>
      <c r="Z30"/>
      <c r="AA30"/>
      <c r="AB30"/>
      <c r="AC30"/>
      <c r="AD30"/>
      <c r="AE30"/>
    </row>
    <row r="31" spans="1:35" ht="12.75" customHeight="1" x14ac:dyDescent="0.2">
      <c r="A31" s="803" t="s">
        <v>451</v>
      </c>
      <c r="B31" s="731">
        <v>8988.7268559260337</v>
      </c>
      <c r="C31" s="731">
        <f t="shared" si="7"/>
        <v>8988.8429751240274</v>
      </c>
      <c r="D31" s="732">
        <f t="shared" si="5"/>
        <v>111.08814071986006</v>
      </c>
      <c r="E31" s="732">
        <f t="shared" si="6"/>
        <v>104.60615682297664</v>
      </c>
      <c r="F31" s="732">
        <f t="shared" si="3"/>
        <v>106.19656059810396</v>
      </c>
      <c r="G31" s="731">
        <f t="shared" si="8"/>
        <v>9545.7187625515362</v>
      </c>
      <c r="H31" s="731">
        <f t="shared" si="8"/>
        <v>9985.4095386349654</v>
      </c>
      <c r="L31" s="805" t="s">
        <v>491</v>
      </c>
      <c r="M31" s="432" t="s">
        <v>507</v>
      </c>
      <c r="N31" s="433">
        <v>94</v>
      </c>
      <c r="O31" s="433"/>
      <c r="R31" s="778" t="s">
        <v>496</v>
      </c>
      <c r="S31" s="416">
        <v>106.1</v>
      </c>
      <c r="T31" s="801">
        <f>U31*S31/100</f>
        <v>110.75682087781732</v>
      </c>
      <c r="U31" s="801">
        <f>M6</f>
        <v>104.38908659549229</v>
      </c>
      <c r="V31" s="802"/>
      <c r="Y31"/>
      <c r="Z31"/>
      <c r="AA31"/>
      <c r="AB31"/>
      <c r="AC31"/>
      <c r="AD31"/>
      <c r="AE31"/>
    </row>
    <row r="32" spans="1:35" ht="12.75" customHeight="1" x14ac:dyDescent="0.2">
      <c r="A32" s="736" t="s">
        <v>443</v>
      </c>
      <c r="B32" s="731">
        <v>3169.0471716464031</v>
      </c>
      <c r="C32" s="731">
        <f t="shared" si="7"/>
        <v>3169.1632908443962</v>
      </c>
      <c r="D32" s="732">
        <f t="shared" si="5"/>
        <v>109.42335849941955</v>
      </c>
      <c r="E32" s="732">
        <f t="shared" si="6"/>
        <v>104.61513714707998</v>
      </c>
      <c r="F32" s="732">
        <f t="shared" si="3"/>
        <v>104.59610481184917</v>
      </c>
      <c r="G32" s="731">
        <f t="shared" si="8"/>
        <v>3314.6999011922139</v>
      </c>
      <c r="H32" s="731">
        <f t="shared" si="8"/>
        <v>3467.6778476463592</v>
      </c>
      <c r="L32" s="806" t="s">
        <v>493</v>
      </c>
      <c r="M32" s="432" t="s">
        <v>508</v>
      </c>
      <c r="N32" s="433">
        <v>107.3</v>
      </c>
      <c r="O32" s="436">
        <f>(1-16.3/100)*100</f>
        <v>83.7</v>
      </c>
      <c r="R32" s="807" t="s">
        <v>497</v>
      </c>
      <c r="S32" s="800"/>
      <c r="T32" s="801">
        <f>U32*S32/100</f>
        <v>0</v>
      </c>
      <c r="U32" s="801">
        <f>M6</f>
        <v>104.38908659549229</v>
      </c>
      <c r="V32" s="808"/>
      <c r="W32" s="717"/>
      <c r="Y32"/>
      <c r="Z32"/>
      <c r="AA32"/>
      <c r="AB32"/>
      <c r="AC32"/>
      <c r="AD32"/>
      <c r="AE32"/>
    </row>
    <row r="33" spans="1:35" ht="12.75" customHeight="1" x14ac:dyDescent="0.2">
      <c r="A33" s="736" t="s">
        <v>445</v>
      </c>
      <c r="B33" s="731">
        <v>5494</v>
      </c>
      <c r="C33" s="731">
        <f t="shared" si="7"/>
        <v>5494</v>
      </c>
      <c r="D33" s="732">
        <f t="shared" si="5"/>
        <v>112.3470857237831</v>
      </c>
      <c r="E33" s="732">
        <f t="shared" si="6"/>
        <v>104.60315963076843</v>
      </c>
      <c r="F33" s="732">
        <f t="shared" si="3"/>
        <v>107.40314740046995</v>
      </c>
      <c r="G33" s="731">
        <f t="shared" si="8"/>
        <v>5900.7289181818187</v>
      </c>
      <c r="H33" s="731">
        <f t="shared" si="8"/>
        <v>6172.3488896646431</v>
      </c>
      <c r="L33" s="438"/>
      <c r="Q33" s="809"/>
      <c r="R33" s="810" t="s">
        <v>132</v>
      </c>
      <c r="S33" s="811">
        <v>112.2</v>
      </c>
      <c r="T33" s="812"/>
      <c r="U33" s="813"/>
      <c r="V33" s="814"/>
      <c r="W33" s="717"/>
      <c r="Y33"/>
      <c r="Z33"/>
      <c r="AA33"/>
      <c r="AB33"/>
      <c r="AC33"/>
      <c r="AD33"/>
      <c r="AE33"/>
    </row>
    <row r="34" spans="1:35" ht="12.75" customHeight="1" x14ac:dyDescent="0.2">
      <c r="A34" s="736" t="s">
        <v>104</v>
      </c>
      <c r="B34" s="731">
        <v>325.67968427963035</v>
      </c>
      <c r="C34" s="731">
        <f t="shared" si="7"/>
        <v>325.67968427963035</v>
      </c>
      <c r="D34" s="732">
        <f t="shared" si="5"/>
        <v>106.04984529136799</v>
      </c>
      <c r="E34" s="732">
        <f t="shared" si="6"/>
        <v>104.56957847437374</v>
      </c>
      <c r="F34" s="732">
        <f t="shared" si="3"/>
        <v>101.41558074402779</v>
      </c>
      <c r="G34" s="731">
        <f t="shared" si="8"/>
        <v>330.28994317750329</v>
      </c>
      <c r="H34" s="731">
        <f t="shared" si="8"/>
        <v>345.38280132396369</v>
      </c>
      <c r="M34"/>
      <c r="N34"/>
      <c r="O34"/>
      <c r="P34"/>
      <c r="S34"/>
      <c r="T34"/>
      <c r="U34"/>
      <c r="V34"/>
      <c r="W34"/>
      <c r="Y34"/>
      <c r="Z34"/>
      <c r="AA34"/>
      <c r="AB34"/>
      <c r="AC34"/>
      <c r="AD34"/>
      <c r="AE34"/>
    </row>
    <row r="35" spans="1:35" ht="12.75" customHeight="1" x14ac:dyDescent="0.2">
      <c r="A35" s="727" t="s">
        <v>506</v>
      </c>
      <c r="B35" s="728"/>
      <c r="C35" s="728"/>
      <c r="D35" s="815"/>
      <c r="E35" s="815"/>
      <c r="F35" s="815"/>
      <c r="G35" s="815"/>
      <c r="H35" s="728"/>
      <c r="M35"/>
      <c r="N35" s="741" t="s">
        <v>473</v>
      </c>
      <c r="O35"/>
      <c r="P35"/>
      <c r="Q35" s="781"/>
      <c r="R35" s="781"/>
      <c r="S35"/>
      <c r="T35"/>
      <c r="U35"/>
      <c r="V35"/>
      <c r="W35"/>
      <c r="X35" s="717"/>
      <c r="Y35"/>
      <c r="Z35"/>
      <c r="AA35"/>
      <c r="AB35"/>
      <c r="AC35"/>
      <c r="AD35"/>
      <c r="AE35"/>
    </row>
    <row r="36" spans="1:35" ht="12.75" customHeight="1" x14ac:dyDescent="0.2">
      <c r="A36" s="730" t="s">
        <v>441</v>
      </c>
      <c r="B36" s="731">
        <v>9458.0963659266617</v>
      </c>
      <c r="C36" s="731">
        <f>SUM(C37:C38)</f>
        <v>9458.0963659266617</v>
      </c>
      <c r="D36" s="732">
        <f>H36/B36*100</f>
        <v>118.36777611709297</v>
      </c>
      <c r="E36" s="733">
        <f>M$4</f>
        <v>104.03618649965205</v>
      </c>
      <c r="F36" s="732">
        <f>G36/B36*100</f>
        <v>113.77558145836963</v>
      </c>
      <c r="G36" s="731">
        <f>SUM(G37:G38)</f>
        <v>10761.004135225987</v>
      </c>
      <c r="H36" s="731">
        <f>SUM(H37:H38)</f>
        <v>11195.338331358977</v>
      </c>
      <c r="J36" s="713">
        <f>H36/H39</f>
        <v>2.8707374737610944</v>
      </c>
      <c r="L36" s="441" t="s">
        <v>510</v>
      </c>
      <c r="M36" s="1013" t="s">
        <v>511</v>
      </c>
      <c r="N36" s="1014"/>
      <c r="O36"/>
      <c r="P36" s="1013" t="s">
        <v>511</v>
      </c>
      <c r="Q36" s="1014"/>
      <c r="R36" s="781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5" ht="12.75" customHeight="1" x14ac:dyDescent="0.2">
      <c r="A37" s="742" t="s">
        <v>445</v>
      </c>
      <c r="B37" s="728">
        <v>6409</v>
      </c>
      <c r="C37" s="728">
        <v>6409</v>
      </c>
      <c r="D37" s="743">
        <f>H37/B37*100</f>
        <v>120.68197633959636</v>
      </c>
      <c r="E37" s="777">
        <f>M$4</f>
        <v>104.03618649965205</v>
      </c>
      <c r="F37" s="776">
        <f>(S29)+0.3</f>
        <v>116</v>
      </c>
      <c r="G37" s="728">
        <f>H37/E37*100</f>
        <v>7434.44</v>
      </c>
      <c r="H37" s="759">
        <f>B37*F37/100*E37/100</f>
        <v>7734.507863604731</v>
      </c>
      <c r="L37" s="443"/>
      <c r="M37" s="444" t="s">
        <v>513</v>
      </c>
      <c r="N37" s="445" t="s">
        <v>514</v>
      </c>
      <c r="O37"/>
      <c r="P37" s="444" t="s">
        <v>1030</v>
      </c>
      <c r="Q37" s="445" t="s">
        <v>514</v>
      </c>
      <c r="R37" s="781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5" ht="12.75" customHeight="1" x14ac:dyDescent="0.2">
      <c r="A38" s="742" t="s">
        <v>104</v>
      </c>
      <c r="B38" s="728">
        <v>3049.0963659266613</v>
      </c>
      <c r="C38" s="731">
        <f>B38/B$72*4691.5</f>
        <v>3049.0963659266613</v>
      </c>
      <c r="D38" s="743">
        <f>H38/B38*100</f>
        <v>113.5034794711204</v>
      </c>
      <c r="E38" s="777">
        <f>M$4</f>
        <v>104.03618649965205</v>
      </c>
      <c r="F38" s="776">
        <f>S29-6.6</f>
        <v>109.10000000000001</v>
      </c>
      <c r="G38" s="728">
        <f>H38/E38*100</f>
        <v>3326.5641352259877</v>
      </c>
      <c r="H38" s="728">
        <f>B38*F38/100*E38/100</f>
        <v>3460.830467754246</v>
      </c>
      <c r="L38" s="450" t="s">
        <v>516</v>
      </c>
      <c r="M38" s="444">
        <v>112.5</v>
      </c>
      <c r="N38" s="445">
        <v>102.5</v>
      </c>
      <c r="O38"/>
      <c r="P38" s="444">
        <v>91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5" ht="12.75" customHeight="1" x14ac:dyDescent="0.2">
      <c r="A39" s="730" t="s">
        <v>455</v>
      </c>
      <c r="B39" s="731">
        <v>3556.7239497937085</v>
      </c>
      <c r="C39" s="731">
        <f>SUM(C40:C41)</f>
        <v>3556.7239497937085</v>
      </c>
      <c r="D39" s="732">
        <f>H39/B39*100</f>
        <v>109.64620000727992</v>
      </c>
      <c r="E39" s="733">
        <f>M$6</f>
        <v>104.38908659549229</v>
      </c>
      <c r="F39" s="732">
        <f t="shared" ref="F39:F60" si="9">G39/B39*100</f>
        <v>105.03607568879202</v>
      </c>
      <c r="G39" s="731">
        <f>SUM(G40:G41)</f>
        <v>3735.8432599467128</v>
      </c>
      <c r="H39" s="731">
        <f>SUM(H40:H41)</f>
        <v>3899.8126556976358</v>
      </c>
      <c r="L39" s="450" t="s">
        <v>394</v>
      </c>
      <c r="M39" s="444">
        <v>111</v>
      </c>
      <c r="N39" s="445">
        <v>101.5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2.75" customHeight="1" x14ac:dyDescent="0.2">
      <c r="A40" s="742" t="s">
        <v>445</v>
      </c>
      <c r="B40" s="728">
        <v>2240</v>
      </c>
      <c r="C40" s="728">
        <v>2240</v>
      </c>
      <c r="D40" s="776">
        <f>T31+0</f>
        <v>110.75682087781732</v>
      </c>
      <c r="E40" s="777">
        <f>M$6</f>
        <v>104.38908659549229</v>
      </c>
      <c r="F40" s="743">
        <f t="shared" si="9"/>
        <v>106.10000000000002</v>
      </c>
      <c r="G40" s="728">
        <f>H40/E40*100</f>
        <v>2376.6400000000003</v>
      </c>
      <c r="H40" s="759">
        <f>B40*D40/100</f>
        <v>2480.9527876631082</v>
      </c>
      <c r="L40" s="456" t="s">
        <v>521</v>
      </c>
      <c r="M40" s="457">
        <v>114</v>
      </c>
      <c r="N40" s="458">
        <v>103.5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2.75" customHeight="1" x14ac:dyDescent="0.2">
      <c r="A41" s="742" t="s">
        <v>104</v>
      </c>
      <c r="B41" s="728">
        <v>1316.7239497937085</v>
      </c>
      <c r="C41" s="731">
        <f>B41/B$72*4691.5</f>
        <v>1316.7239497937085</v>
      </c>
      <c r="D41" s="776">
        <f>T31-3</f>
        <v>107.75682087781732</v>
      </c>
      <c r="E41" s="777">
        <f>M$6</f>
        <v>104.38908659549229</v>
      </c>
      <c r="F41" s="743">
        <f t="shared" si="9"/>
        <v>103.22613636363639</v>
      </c>
      <c r="G41" s="728">
        <f>H41/E41*100</f>
        <v>1359.2032599467125</v>
      </c>
      <c r="H41" s="728">
        <f>B41*D41/100</f>
        <v>1418.8598680345278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2.75" customHeight="1" x14ac:dyDescent="0.2">
      <c r="A42" s="787" t="s">
        <v>523</v>
      </c>
      <c r="B42" s="731">
        <v>13014.82031572037</v>
      </c>
      <c r="C42" s="731">
        <f>SUM(C43:C44)</f>
        <v>13014.82031572037</v>
      </c>
      <c r="D42" s="732">
        <f t="shared" ref="D42:D60" si="10">H42/B42*100</f>
        <v>115.98432111139829</v>
      </c>
      <c r="E42" s="732">
        <f t="shared" ref="E42:E60" si="11">H42/G42*100</f>
        <v>104.12712899277084</v>
      </c>
      <c r="F42" s="732">
        <f t="shared" si="9"/>
        <v>111.38722658861617</v>
      </c>
      <c r="G42" s="731">
        <f>SUM(G43:G44)</f>
        <v>14496.847395172699</v>
      </c>
      <c r="H42" s="731">
        <f>SUM(H43:H44)</f>
        <v>15095.150987056615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2.75" customHeight="1" x14ac:dyDescent="0.2">
      <c r="A43" s="736" t="s">
        <v>445</v>
      </c>
      <c r="B43" s="731">
        <v>8649</v>
      </c>
      <c r="C43" s="731">
        <f>C37+C40</f>
        <v>8649</v>
      </c>
      <c r="D43" s="732">
        <f t="shared" si="10"/>
        <v>118.11146550199838</v>
      </c>
      <c r="E43" s="732">
        <f t="shared" si="11"/>
        <v>104.12167316205596</v>
      </c>
      <c r="F43" s="732">
        <f t="shared" si="9"/>
        <v>113.4360041623309</v>
      </c>
      <c r="G43" s="731">
        <f>G37+G40</f>
        <v>9811.08</v>
      </c>
      <c r="H43" s="731">
        <f>H37+H40</f>
        <v>10215.46065126784</v>
      </c>
      <c r="L43"/>
      <c r="M43"/>
      <c r="N43"/>
      <c r="O43"/>
      <c r="P43"/>
      <c r="Q43"/>
      <c r="R43"/>
      <c r="S43"/>
      <c r="T43" s="816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2.75" customHeight="1" x14ac:dyDescent="0.2">
      <c r="A44" s="736" t="s">
        <v>104</v>
      </c>
      <c r="B44" s="731">
        <v>4365.8203157203698</v>
      </c>
      <c r="C44" s="731">
        <f>C38+C41</f>
        <v>4365.8203157203698</v>
      </c>
      <c r="D44" s="732">
        <f t="shared" si="10"/>
        <v>111.77029705547135</v>
      </c>
      <c r="E44" s="732">
        <f t="shared" si="11"/>
        <v>104.13855243467387</v>
      </c>
      <c r="F44" s="732">
        <f t="shared" si="9"/>
        <v>107.32845276064778</v>
      </c>
      <c r="G44" s="731">
        <f>G38+G41</f>
        <v>4685.7673951727002</v>
      </c>
      <c r="H44" s="731">
        <f>H38+H41</f>
        <v>4879.6903357887741</v>
      </c>
      <c r="L44"/>
      <c r="M44"/>
      <c r="N44"/>
      <c r="O44"/>
      <c r="P44"/>
      <c r="Q44"/>
      <c r="R44"/>
      <c r="S44"/>
      <c r="T44" s="816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2.75" customHeight="1" x14ac:dyDescent="0.2">
      <c r="A45" s="817" t="s">
        <v>529</v>
      </c>
      <c r="B45" s="731">
        <v>33965.709019539136</v>
      </c>
      <c r="C45" s="731">
        <f>SUM(C46:C48)</f>
        <v>33960.263452389401</v>
      </c>
      <c r="D45" s="732">
        <f t="shared" si="10"/>
        <v>113.9791256238554</v>
      </c>
      <c r="E45" s="732">
        <f t="shared" si="11"/>
        <v>104.41510667612839</v>
      </c>
      <c r="F45" s="732">
        <f t="shared" si="9"/>
        <v>109.15961229383444</v>
      </c>
      <c r="G45" s="731">
        <f>SUM(G46:G48)</f>
        <v>37076.836278580879</v>
      </c>
      <c r="H45" s="818">
        <f>SUM(H46:H48)</f>
        <v>38713.818152413696</v>
      </c>
      <c r="L45"/>
      <c r="M45"/>
      <c r="N45"/>
      <c r="O45"/>
      <c r="P45"/>
      <c r="Q45"/>
      <c r="R45"/>
      <c r="S45"/>
      <c r="T45" s="819"/>
      <c r="U45" s="820"/>
      <c r="V45" s="821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2.75" customHeight="1" x14ac:dyDescent="0.2">
      <c r="A46" s="736" t="s">
        <v>443</v>
      </c>
      <c r="B46" s="731">
        <v>15131.209019539132</v>
      </c>
      <c r="C46" s="731">
        <f>C26</f>
        <v>15125.763452389401</v>
      </c>
      <c r="D46" s="732">
        <f t="shared" si="10"/>
        <v>113.01764090553374</v>
      </c>
      <c r="E46" s="732">
        <f t="shared" si="11"/>
        <v>104.5994668245491</v>
      </c>
      <c r="F46" s="732">
        <f t="shared" si="9"/>
        <v>108.04800859559344</v>
      </c>
      <c r="G46" s="731">
        <f>G26</f>
        <v>16348.970022048854</v>
      </c>
      <c r="H46" s="731">
        <f>H26</f>
        <v>17100.935474368471</v>
      </c>
      <c r="L46"/>
      <c r="M46"/>
      <c r="N46"/>
      <c r="O46"/>
      <c r="P46"/>
      <c r="Q46"/>
      <c r="R46"/>
      <c r="S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2.75" customHeight="1" x14ac:dyDescent="0.2">
      <c r="A47" s="736" t="s">
        <v>445</v>
      </c>
      <c r="B47" s="731">
        <v>14143</v>
      </c>
      <c r="C47" s="731">
        <f>C27+C43</f>
        <v>14143</v>
      </c>
      <c r="D47" s="732">
        <f t="shared" si="10"/>
        <v>115.87223036790273</v>
      </c>
      <c r="E47" s="732">
        <f t="shared" si="11"/>
        <v>104.30250028033623</v>
      </c>
      <c r="F47" s="732">
        <f t="shared" si="9"/>
        <v>111.09247626516169</v>
      </c>
      <c r="G47" s="731">
        <f>G27+G43</f>
        <v>15711.808918181818</v>
      </c>
      <c r="H47" s="731">
        <f>H27+H43</f>
        <v>16387.809540932481</v>
      </c>
      <c r="L47"/>
      <c r="M47"/>
      <c r="N47"/>
      <c r="O47"/>
      <c r="P47"/>
      <c r="Q47"/>
      <c r="R47"/>
      <c r="S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2.75" customHeight="1" x14ac:dyDescent="0.2">
      <c r="A48" s="736" t="s">
        <v>104</v>
      </c>
      <c r="B48" s="731">
        <v>4691.5</v>
      </c>
      <c r="C48" s="731">
        <f>C28+C44</f>
        <v>4691.5</v>
      </c>
      <c r="D48" s="732">
        <f t="shared" si="10"/>
        <v>111.37318847090989</v>
      </c>
      <c r="E48" s="732">
        <f t="shared" si="11"/>
        <v>104.16693400142192</v>
      </c>
      <c r="F48" s="732">
        <f t="shared" si="9"/>
        <v>106.91798653629337</v>
      </c>
      <c r="G48" s="731">
        <f>G28+G44</f>
        <v>5016.0573383502033</v>
      </c>
      <c r="H48" s="731">
        <f>H28+H44</f>
        <v>5225.0731371127376</v>
      </c>
      <c r="L48"/>
      <c r="M48"/>
      <c r="N48"/>
      <c r="O48"/>
      <c r="P48"/>
      <c r="Q48"/>
      <c r="R48"/>
      <c r="S48"/>
      <c r="T48" s="822"/>
      <c r="U48" s="822"/>
      <c r="V48" s="823"/>
      <c r="W48"/>
      <c r="X48"/>
      <c r="Y48"/>
      <c r="Z48"/>
      <c r="AA48"/>
      <c r="AB48"/>
      <c r="AC48"/>
      <c r="AD48"/>
    </row>
    <row r="49" spans="1:30" ht="12.75" customHeight="1" x14ac:dyDescent="0.2">
      <c r="A49" s="824" t="s">
        <v>582</v>
      </c>
      <c r="B49" s="731">
        <v>24224.885176083069</v>
      </c>
      <c r="C49" s="731">
        <f>SUM(C50:C52)</f>
        <v>24221.275685273707</v>
      </c>
      <c r="D49" s="732">
        <f t="shared" si="10"/>
        <v>115.23054626715781</v>
      </c>
      <c r="E49" s="732">
        <f t="shared" si="11"/>
        <v>104.42517662007562</v>
      </c>
      <c r="F49" s="732">
        <f t="shared" si="9"/>
        <v>110.34747557707733</v>
      </c>
      <c r="G49" s="731">
        <f>SUM(G50:G52)</f>
        <v>26731.549253253292</v>
      </c>
      <c r="H49" s="731">
        <f>SUM(H50:H52)</f>
        <v>27914.467520992253</v>
      </c>
      <c r="L49"/>
      <c r="M49"/>
      <c r="N49"/>
      <c r="O49"/>
      <c r="P49"/>
      <c r="Q49"/>
      <c r="R49"/>
      <c r="S49"/>
      <c r="T49" s="825"/>
      <c r="U49" s="825"/>
      <c r="V49" s="826"/>
      <c r="W49"/>
      <c r="X49"/>
      <c r="Y49"/>
      <c r="Z49"/>
      <c r="AA49"/>
      <c r="AB49"/>
      <c r="AC49"/>
      <c r="AD49"/>
    </row>
    <row r="50" spans="1:30" ht="12.75" customHeight="1" x14ac:dyDescent="0.2">
      <c r="A50" s="736" t="s">
        <v>443</v>
      </c>
      <c r="B50" s="827">
        <v>10657.514584034665</v>
      </c>
      <c r="C50" s="827">
        <f>C6</f>
        <v>10653.905093225305</v>
      </c>
      <c r="D50" s="732">
        <f t="shared" si="10"/>
        <v>113.30162468981165</v>
      </c>
      <c r="E50" s="732">
        <f t="shared" si="11"/>
        <v>104.68727940138361</v>
      </c>
      <c r="F50" s="732">
        <f t="shared" si="9"/>
        <v>108.22864567470477</v>
      </c>
      <c r="G50" s="827">
        <f>G6</f>
        <v>11534.483696884861</v>
      </c>
      <c r="H50" s="827">
        <f>H6</f>
        <v>12075.137175264896</v>
      </c>
      <c r="L50"/>
      <c r="M50"/>
      <c r="N50"/>
      <c r="O50"/>
      <c r="P50"/>
      <c r="Q50"/>
      <c r="R50"/>
      <c r="S50"/>
      <c r="T50" s="825"/>
      <c r="U50" s="822"/>
      <c r="V50" s="826"/>
      <c r="W50"/>
      <c r="X50"/>
      <c r="Y50"/>
      <c r="Z50"/>
      <c r="AA50"/>
      <c r="AB50"/>
      <c r="AC50"/>
      <c r="AD50"/>
    </row>
    <row r="51" spans="1:30" ht="12.75" customHeight="1" x14ac:dyDescent="0.2">
      <c r="A51" s="736" t="s">
        <v>445</v>
      </c>
      <c r="B51" s="827">
        <v>10327</v>
      </c>
      <c r="C51" s="827">
        <f>C7+C37</f>
        <v>10327</v>
      </c>
      <c r="D51" s="732">
        <f t="shared" si="10"/>
        <v>117.83876494853271</v>
      </c>
      <c r="E51" s="732">
        <f t="shared" si="11"/>
        <v>104.27251762872703</v>
      </c>
      <c r="F51" s="732">
        <f t="shared" si="9"/>
        <v>113.01037668248281</v>
      </c>
      <c r="G51" s="827">
        <f>G7+G37</f>
        <v>11670.581600000001</v>
      </c>
      <c r="H51" s="827">
        <f>H7+H37</f>
        <v>12169.209256234974</v>
      </c>
      <c r="L51"/>
      <c r="M51"/>
      <c r="N51"/>
      <c r="O51"/>
      <c r="P51"/>
      <c r="Q51"/>
      <c r="R51"/>
      <c r="S51"/>
      <c r="T51" s="828"/>
      <c r="U51" s="828"/>
      <c r="V51" s="826"/>
      <c r="W51"/>
      <c r="X51"/>
      <c r="Y51"/>
      <c r="Z51"/>
      <c r="AA51"/>
      <c r="AB51"/>
      <c r="AC51"/>
      <c r="AD51"/>
    </row>
    <row r="52" spans="1:30" ht="14.65" customHeight="1" x14ac:dyDescent="0.2">
      <c r="A52" s="736" t="s">
        <v>104</v>
      </c>
      <c r="B52" s="827">
        <v>3240.3705920484012</v>
      </c>
      <c r="C52" s="827">
        <f>C8+C38</f>
        <v>3240.3705920484012</v>
      </c>
      <c r="D52" s="732">
        <f t="shared" si="10"/>
        <v>113.26238728676752</v>
      </c>
      <c r="E52" s="732">
        <f t="shared" si="11"/>
        <v>104.07309759242086</v>
      </c>
      <c r="F52" s="732">
        <f t="shared" si="9"/>
        <v>108.82964945497677</v>
      </c>
      <c r="G52" s="827">
        <f>G8+G38</f>
        <v>3526.4839563684304</v>
      </c>
      <c r="H52" s="827">
        <f>H8+H38</f>
        <v>3670.1210894923815</v>
      </c>
      <c r="L52"/>
      <c r="M52"/>
      <c r="N52"/>
      <c r="O52"/>
      <c r="P52"/>
      <c r="Q52"/>
      <c r="R52"/>
      <c r="S52"/>
      <c r="T52" s="829"/>
      <c r="U52" s="829"/>
      <c r="V52" s="826"/>
      <c r="W52"/>
      <c r="X52"/>
      <c r="Y52"/>
      <c r="Z52"/>
      <c r="AA52"/>
      <c r="AB52"/>
      <c r="AC52"/>
      <c r="AD52"/>
    </row>
    <row r="53" spans="1:30" ht="14.65" customHeight="1" x14ac:dyDescent="0.2">
      <c r="A53" s="824" t="s">
        <v>587</v>
      </c>
      <c r="B53" s="731">
        <v>9740.8238434560662</v>
      </c>
      <c r="C53" s="731">
        <f>SUM(C54:C56)</f>
        <v>9738.9877671156955</v>
      </c>
      <c r="D53" s="732">
        <f t="shared" si="10"/>
        <v>110.86691233695288</v>
      </c>
      <c r="E53" s="732">
        <f t="shared" si="11"/>
        <v>104.3890865954923</v>
      </c>
      <c r="F53" s="732">
        <f t="shared" si="9"/>
        <v>106.20546261369461</v>
      </c>
      <c r="G53" s="731">
        <f>SUM(G54:G56)</f>
        <v>10345.287025327583</v>
      </c>
      <c r="H53" s="731">
        <f>SUM(H54:H56)</f>
        <v>10799.350631421441</v>
      </c>
      <c r="I53" s="830"/>
      <c r="J53" s="830"/>
      <c r="L53"/>
      <c r="M53"/>
      <c r="N53"/>
      <c r="O53"/>
      <c r="P53"/>
      <c r="Q53"/>
      <c r="R53"/>
      <c r="S53"/>
      <c r="U53" s="367"/>
      <c r="X53" s="770"/>
      <c r="Y53" s="713"/>
      <c r="AD53"/>
    </row>
    <row r="54" spans="1:30" ht="14.65" customHeight="1" x14ac:dyDescent="0.2">
      <c r="A54" s="736" t="s">
        <v>95</v>
      </c>
      <c r="B54" s="827">
        <v>4473.694435504467</v>
      </c>
      <c r="C54" s="827">
        <f>C16</f>
        <v>4471.8583591640972</v>
      </c>
      <c r="D54" s="732">
        <f t="shared" si="10"/>
        <v>112.3411169796815</v>
      </c>
      <c r="E54" s="732">
        <f t="shared" si="11"/>
        <v>104.38908659549229</v>
      </c>
      <c r="F54" s="732">
        <f t="shared" si="9"/>
        <v>107.6176836521267</v>
      </c>
      <c r="G54" s="827">
        <f>G16</f>
        <v>4814.4863251639927</v>
      </c>
      <c r="H54" s="827">
        <f>H16</f>
        <v>5025.7982991035751</v>
      </c>
      <c r="I54" s="830"/>
      <c r="J54" s="830"/>
      <c r="L54"/>
      <c r="M54"/>
      <c r="N54"/>
      <c r="O54"/>
      <c r="P54"/>
      <c r="Q54"/>
      <c r="R54"/>
      <c r="S54"/>
      <c r="Z54" s="831"/>
    </row>
    <row r="55" spans="1:30" ht="12.75" customHeight="1" x14ac:dyDescent="0.2">
      <c r="A55" s="736" t="s">
        <v>445</v>
      </c>
      <c r="B55" s="827">
        <v>3816</v>
      </c>
      <c r="C55" s="827">
        <f>C17+C40</f>
        <v>3816</v>
      </c>
      <c r="D55" s="732">
        <f t="shared" si="10"/>
        <v>110.55032192603535</v>
      </c>
      <c r="E55" s="732">
        <f t="shared" si="11"/>
        <v>104.38908659549229</v>
      </c>
      <c r="F55" s="732">
        <f t="shared" si="9"/>
        <v>105.90218339050885</v>
      </c>
      <c r="G55" s="827">
        <f>G17+G40</f>
        <v>4041.2273181818182</v>
      </c>
      <c r="H55" s="827">
        <f>H17+H40</f>
        <v>4218.6002846975089</v>
      </c>
      <c r="L55"/>
      <c r="M55"/>
      <c r="N55"/>
      <c r="O55"/>
      <c r="P55"/>
      <c r="Q55"/>
      <c r="R55"/>
      <c r="S55"/>
      <c r="T55" s="832"/>
      <c r="U55" s="832"/>
      <c r="V55" s="832"/>
      <c r="Y55" s="713"/>
      <c r="Z55" s="831"/>
    </row>
    <row r="56" spans="1:30" ht="12.75" customHeight="1" x14ac:dyDescent="0.2">
      <c r="A56" s="736" t="s">
        <v>104</v>
      </c>
      <c r="B56" s="827">
        <v>1451.1294079515988</v>
      </c>
      <c r="C56" s="827">
        <f>C18+C41</f>
        <v>1451.1294079515988</v>
      </c>
      <c r="D56" s="732">
        <f t="shared" si="10"/>
        <v>107.15460930636867</v>
      </c>
      <c r="E56" s="732">
        <f t="shared" si="11"/>
        <v>104.38908659549229</v>
      </c>
      <c r="F56" s="732">
        <f t="shared" si="9"/>
        <v>102.6492450514418</v>
      </c>
      <c r="G56" s="827">
        <f>G18+G41</f>
        <v>1489.5733819817731</v>
      </c>
      <c r="H56" s="827">
        <f>H18+H41</f>
        <v>1554.9520476203563</v>
      </c>
      <c r="K56" s="714" t="s">
        <v>1031</v>
      </c>
      <c r="L56"/>
      <c r="M56"/>
      <c r="N56"/>
      <c r="O56"/>
      <c r="P56"/>
      <c r="Q56"/>
      <c r="R56"/>
      <c r="S56"/>
      <c r="T56" s="833"/>
      <c r="U56" s="833"/>
      <c r="V56" s="833"/>
      <c r="W56" s="830"/>
      <c r="Y56" s="713"/>
      <c r="Z56" s="831"/>
    </row>
    <row r="57" spans="1:30" ht="14.65" customHeight="1" x14ac:dyDescent="0.2">
      <c r="A57" s="834" t="s">
        <v>1032</v>
      </c>
      <c r="B57" s="731">
        <v>32234.009019539131</v>
      </c>
      <c r="C57" s="731">
        <f>SUM(C58:C60)</f>
        <v>32228.5634523894</v>
      </c>
      <c r="D57" s="732">
        <f t="shared" si="10"/>
        <v>119.27408138748294</v>
      </c>
      <c r="E57" s="732">
        <f t="shared" si="11"/>
        <v>104.41322147781962</v>
      </c>
      <c r="F57" s="732">
        <f t="shared" si="9"/>
        <v>114.2327376737631</v>
      </c>
      <c r="G57" s="731">
        <f>SUM(G58:G60)</f>
        <v>36821.79096502727</v>
      </c>
      <c r="H57" s="731">
        <f>SUM(H58:H60)</f>
        <v>38446.818152413696</v>
      </c>
      <c r="I57" s="835"/>
      <c r="J57" s="835"/>
      <c r="K57" s="836"/>
      <c r="L57"/>
      <c r="M57"/>
      <c r="N57"/>
      <c r="O57"/>
      <c r="P57"/>
      <c r="Q57"/>
      <c r="R57"/>
      <c r="S57"/>
      <c r="T57" s="512"/>
      <c r="U57" s="837"/>
      <c r="V57" s="838"/>
      <c r="Y57" s="830"/>
      <c r="Z57" s="576"/>
    </row>
    <row r="58" spans="1:30" ht="12.75" customHeight="1" x14ac:dyDescent="0.2">
      <c r="A58" s="839" t="s">
        <v>598</v>
      </c>
      <c r="B58" s="731">
        <v>13399.509019539131</v>
      </c>
      <c r="C58" s="731">
        <f>C26-C73</f>
        <v>13394.0634523894</v>
      </c>
      <c r="D58" s="732">
        <f t="shared" si="10"/>
        <v>125.63098729827537</v>
      </c>
      <c r="E58" s="840">
        <f t="shared" si="11"/>
        <v>104.59807523197003</v>
      </c>
      <c r="F58" s="732">
        <f t="shared" si="9"/>
        <v>120.10831654374145</v>
      </c>
      <c r="G58" s="731">
        <f>G26-G73</f>
        <v>16093.924708495246</v>
      </c>
      <c r="H58" s="731">
        <f>H26-H73</f>
        <v>16833.935474368471</v>
      </c>
      <c r="I58" s="830"/>
      <c r="J58" s="830"/>
      <c r="K58" s="836"/>
      <c r="M58" s="830"/>
      <c r="N58" s="841"/>
      <c r="O58" s="841"/>
      <c r="P58" s="841"/>
      <c r="Q58" s="842"/>
      <c r="R58" s="842"/>
      <c r="T58" s="512"/>
      <c r="U58" s="769"/>
      <c r="V58" s="838"/>
      <c r="Y58" s="830"/>
      <c r="Z58" s="576"/>
    </row>
    <row r="59" spans="1:30" ht="24" customHeight="1" x14ac:dyDescent="0.2">
      <c r="A59" s="736" t="s">
        <v>445</v>
      </c>
      <c r="B59" s="731">
        <v>14143</v>
      </c>
      <c r="C59" s="731">
        <f>C27+C43</f>
        <v>14143</v>
      </c>
      <c r="D59" s="732">
        <f t="shared" si="10"/>
        <v>115.87223036790273</v>
      </c>
      <c r="E59" s="840">
        <f t="shared" si="11"/>
        <v>104.30250028033623</v>
      </c>
      <c r="F59" s="732">
        <f t="shared" si="9"/>
        <v>111.09247626516169</v>
      </c>
      <c r="G59" s="731">
        <f>G27+G43</f>
        <v>15711.808918181818</v>
      </c>
      <c r="H59" s="731">
        <f>H27+H43</f>
        <v>16387.809540932481</v>
      </c>
      <c r="I59" s="835"/>
      <c r="J59" s="835"/>
      <c r="L59" s="843" t="s">
        <v>667</v>
      </c>
      <c r="M59" s="843" t="str">
        <f>B$2</f>
        <v>DEF 2020</v>
      </c>
      <c r="N59" s="844"/>
      <c r="O59" s="844"/>
      <c r="P59" s="844"/>
      <c r="Q59" s="844"/>
      <c r="R59" s="843" t="str">
        <f>H$2</f>
        <v>SD 2021</v>
      </c>
      <c r="Y59" s="830"/>
      <c r="Z59" s="576"/>
    </row>
    <row r="60" spans="1:30" ht="21.75" customHeight="1" x14ac:dyDescent="0.2">
      <c r="A60" s="736" t="s">
        <v>104</v>
      </c>
      <c r="B60" s="731">
        <v>4691.5</v>
      </c>
      <c r="C60" s="731">
        <f>C28+C44</f>
        <v>4691.5</v>
      </c>
      <c r="D60" s="732">
        <f t="shared" si="10"/>
        <v>111.37318847090989</v>
      </c>
      <c r="E60" s="840">
        <f t="shared" si="11"/>
        <v>104.16693400142192</v>
      </c>
      <c r="F60" s="732">
        <f t="shared" si="9"/>
        <v>106.91798653629337</v>
      </c>
      <c r="G60" s="731">
        <f>G28+G44</f>
        <v>5016.0573383502033</v>
      </c>
      <c r="H60" s="731">
        <f>H28+H44</f>
        <v>5225.0731371127376</v>
      </c>
      <c r="I60" s="845"/>
      <c r="J60" s="845"/>
      <c r="L60" s="720"/>
      <c r="M60" s="843" t="s">
        <v>433</v>
      </c>
      <c r="N60" s="843" t="s">
        <v>434</v>
      </c>
      <c r="O60" s="846" t="s">
        <v>435</v>
      </c>
      <c r="P60" s="843" t="s">
        <v>436</v>
      </c>
      <c r="Q60" s="847" t="s">
        <v>437</v>
      </c>
      <c r="R60" s="843" t="s">
        <v>433</v>
      </c>
      <c r="S60" s="848" t="s">
        <v>614</v>
      </c>
      <c r="T60" s="848" t="s">
        <v>615</v>
      </c>
      <c r="U60" s="848" t="s">
        <v>616</v>
      </c>
      <c r="V60" s="848" t="s">
        <v>605</v>
      </c>
      <c r="Y60" s="713"/>
      <c r="Z60" s="576"/>
    </row>
    <row r="61" spans="1:30" ht="12.75" customHeight="1" x14ac:dyDescent="0.2">
      <c r="A61" s="824" t="s">
        <v>601</v>
      </c>
      <c r="B61" s="728"/>
      <c r="C61" s="728"/>
      <c r="D61" s="815"/>
      <c r="E61" s="815"/>
      <c r="F61" s="815"/>
      <c r="G61" s="815"/>
      <c r="H61" s="728"/>
      <c r="I61" s="830"/>
      <c r="J61" s="830"/>
      <c r="K61" s="836" t="s">
        <v>669</v>
      </c>
      <c r="L61" s="720" t="s">
        <v>670</v>
      </c>
      <c r="M61" s="849">
        <f>B$10</f>
        <v>8248.8016399979952</v>
      </c>
      <c r="N61" s="850">
        <f>D$10</f>
        <v>114.49647748129324</v>
      </c>
      <c r="O61" s="850">
        <f>E$10</f>
        <v>104.68727940138361</v>
      </c>
      <c r="P61" s="850">
        <f>F$10</f>
        <v>109.36999999999999</v>
      </c>
      <c r="Q61" s="849">
        <f>G$10</f>
        <v>9021.7143536658077</v>
      </c>
      <c r="R61" s="849">
        <f>H$10</f>
        <v>9444.5873122168523</v>
      </c>
      <c r="S61" s="720" t="s">
        <v>634</v>
      </c>
      <c r="T61" s="850">
        <f>U61*O61/100</f>
        <v>83.065012729141429</v>
      </c>
      <c r="U61" s="851">
        <f>O$13</f>
        <v>79.345850999394301</v>
      </c>
      <c r="V61" s="852">
        <f>N61-T61</f>
        <v>31.431464752151811</v>
      </c>
      <c r="W61" s="714" t="s">
        <v>1033</v>
      </c>
      <c r="Y61" s="713"/>
      <c r="Z61" s="429"/>
      <c r="AA61"/>
      <c r="AB61" s="853"/>
      <c r="AC61" s="853"/>
    </row>
    <row r="62" spans="1:30" ht="12.75" customHeight="1" x14ac:dyDescent="0.2">
      <c r="A62" s="736" t="s">
        <v>95</v>
      </c>
      <c r="B62" s="728"/>
      <c r="C62" s="728"/>
      <c r="D62" s="815"/>
      <c r="E62" s="815"/>
      <c r="F62" s="815"/>
      <c r="G62" s="815"/>
      <c r="H62" s="728"/>
      <c r="I62" s="830"/>
      <c r="J62" s="830"/>
      <c r="K62" s="836" t="s">
        <v>673</v>
      </c>
      <c r="L62" s="720" t="s">
        <v>633</v>
      </c>
      <c r="M62" s="849">
        <f>B$12</f>
        <v>2408.7129440366698</v>
      </c>
      <c r="N62" s="850">
        <f>D$12</f>
        <v>109.20976987152338</v>
      </c>
      <c r="O62" s="850">
        <f>E$12</f>
        <v>104.68727940138361</v>
      </c>
      <c r="P62" s="850">
        <f>F$12</f>
        <v>104.32000000000001</v>
      </c>
      <c r="Q62" s="849">
        <f>G$12</f>
        <v>2512.769343219054</v>
      </c>
      <c r="R62" s="849">
        <f>H$12</f>
        <v>2630.5498630480429</v>
      </c>
      <c r="S62" s="720" t="s">
        <v>634</v>
      </c>
      <c r="T62" s="850">
        <f>U62*O62/100</f>
        <v>84.95455808564661</v>
      </c>
      <c r="U62" s="851">
        <f>P$13</f>
        <v>81.150793650793645</v>
      </c>
      <c r="V62" s="852">
        <f>N62-T62</f>
        <v>24.255211785876767</v>
      </c>
      <c r="W62" s="714"/>
      <c r="Y62" s="713"/>
      <c r="Z62" s="429"/>
      <c r="AA62"/>
      <c r="AB62"/>
      <c r="AC62"/>
    </row>
    <row r="63" spans="1:30" ht="12.75" customHeight="1" x14ac:dyDescent="0.2">
      <c r="A63" s="736" t="s">
        <v>445</v>
      </c>
      <c r="B63" s="728"/>
      <c r="C63" s="728"/>
      <c r="D63" s="815"/>
      <c r="E63" s="815"/>
      <c r="F63" s="815"/>
      <c r="G63" s="815"/>
      <c r="H63" s="728"/>
      <c r="K63" s="836" t="s">
        <v>1034</v>
      </c>
      <c r="L63" s="720" t="s">
        <v>1035</v>
      </c>
      <c r="M63" s="849">
        <f>B$20</f>
        <v>3713.3602078947333</v>
      </c>
      <c r="N63" s="850">
        <f>D$20</f>
        <v>112.8</v>
      </c>
      <c r="O63" s="850">
        <f>E$20</f>
        <v>104.38908659549229</v>
      </c>
      <c r="P63" s="850">
        <f>F$20</f>
        <v>108.05727272727272</v>
      </c>
      <c r="Q63" s="849">
        <f>G$20</f>
        <v>4012.5557671908332</v>
      </c>
      <c r="R63" s="849">
        <f>H$20</f>
        <v>4188.6703145052588</v>
      </c>
      <c r="S63" s="720" t="s">
        <v>510</v>
      </c>
      <c r="T63" s="854">
        <f>AB$31</f>
        <v>0</v>
      </c>
      <c r="U63" s="720"/>
      <c r="V63" s="852">
        <f>N63-T63</f>
        <v>112.8</v>
      </c>
      <c r="W63" s="714"/>
      <c r="Y63" s="713"/>
      <c r="Z63" s="429"/>
      <c r="AA63"/>
      <c r="AB63"/>
      <c r="AC63"/>
    </row>
    <row r="64" spans="1:30" ht="12.75" customHeight="1" x14ac:dyDescent="0.2">
      <c r="A64" s="736" t="s">
        <v>104</v>
      </c>
      <c r="B64" s="728"/>
      <c r="C64" s="728"/>
      <c r="D64" s="815"/>
      <c r="E64" s="815"/>
      <c r="F64" s="815"/>
      <c r="G64" s="815"/>
      <c r="H64" s="728"/>
      <c r="K64" s="836" t="s">
        <v>1036</v>
      </c>
      <c r="L64" s="720" t="s">
        <v>1037</v>
      </c>
      <c r="M64" s="849">
        <f>B$22</f>
        <v>760.33422760973326</v>
      </c>
      <c r="N64" s="850">
        <f>D$22</f>
        <v>110.1</v>
      </c>
      <c r="O64" s="850">
        <f>E$22</f>
        <v>104.38908659549229</v>
      </c>
      <c r="P64" s="850">
        <f>F$22</f>
        <v>105.47079545454548</v>
      </c>
      <c r="Q64" s="849">
        <f>G$22</f>
        <v>801.93055797315992</v>
      </c>
      <c r="R64" s="849">
        <f>H$22</f>
        <v>837.12798459831629</v>
      </c>
      <c r="S64" s="720" t="s">
        <v>510</v>
      </c>
      <c r="T64" s="854">
        <f>AB$31</f>
        <v>0</v>
      </c>
      <c r="U64" s="720"/>
      <c r="V64" s="852">
        <f>N64-T64</f>
        <v>110.1</v>
      </c>
      <c r="W64" s="714"/>
      <c r="Y64" s="713"/>
      <c r="Z64" s="429"/>
      <c r="AA64"/>
      <c r="AB64"/>
      <c r="AC64"/>
    </row>
    <row r="65" spans="1:37" ht="12.75" customHeight="1" x14ac:dyDescent="0.2">
      <c r="A65" s="824" t="s">
        <v>612</v>
      </c>
      <c r="B65" s="728"/>
      <c r="C65" s="728"/>
      <c r="D65" s="815"/>
      <c r="E65" s="815"/>
      <c r="F65" s="815"/>
      <c r="G65" s="815"/>
      <c r="H65" s="728"/>
      <c r="I65" s="830"/>
      <c r="J65" s="830"/>
      <c r="L65" s="855" t="s">
        <v>682</v>
      </c>
      <c r="M65" s="849">
        <f>B$73</f>
        <v>1731.7</v>
      </c>
      <c r="N65" s="850">
        <f>D$73</f>
        <v>15.418375007218341</v>
      </c>
      <c r="O65" s="850">
        <f>E$73</f>
        <v>104.68727940138361</v>
      </c>
      <c r="P65" s="850">
        <f>F$73</f>
        <v>14.728031041959206</v>
      </c>
      <c r="Q65" s="849">
        <f>G$73</f>
        <v>255.04531355360754</v>
      </c>
      <c r="R65" s="849">
        <f>H$73</f>
        <v>267</v>
      </c>
      <c r="W65" s="714"/>
      <c r="Z65" s="429"/>
      <c r="AA65"/>
      <c r="AB65"/>
      <c r="AC65"/>
    </row>
    <row r="66" spans="1:37" ht="12.75" customHeight="1" x14ac:dyDescent="0.2">
      <c r="A66" s="736" t="s">
        <v>95</v>
      </c>
      <c r="B66" s="728"/>
      <c r="C66" s="728"/>
      <c r="D66" s="815"/>
      <c r="E66" s="815"/>
      <c r="F66" s="815"/>
      <c r="G66" s="815"/>
      <c r="H66" s="728"/>
      <c r="I66"/>
      <c r="J66"/>
      <c r="L66" s="856" t="s">
        <v>667</v>
      </c>
      <c r="M66" s="849">
        <f>B$70</f>
        <v>13399.509019539131</v>
      </c>
      <c r="N66" s="857">
        <f>D$70</f>
        <v>125.63098729827537</v>
      </c>
      <c r="O66" s="850">
        <f>E$70</f>
        <v>104.59807523197003</v>
      </c>
      <c r="P66" s="850">
        <f>F$70</f>
        <v>120.10831654374145</v>
      </c>
      <c r="Q66" s="858">
        <f>G$70</f>
        <v>16093.924708495246</v>
      </c>
      <c r="R66" s="859">
        <f>H$70</f>
        <v>16833.935474368471</v>
      </c>
      <c r="S66" s="860" t="s">
        <v>625</v>
      </c>
      <c r="W66" s="714"/>
      <c r="Y66" s="856" t="s">
        <v>667</v>
      </c>
      <c r="Z66" s="858">
        <f>Q66</f>
        <v>16093.924708495246</v>
      </c>
      <c r="AA66" s="858">
        <f>R66</f>
        <v>16833.935474368471</v>
      </c>
    </row>
    <row r="67" spans="1:37" ht="12.75" customHeight="1" x14ac:dyDescent="0.2">
      <c r="A67" s="736" t="s">
        <v>445</v>
      </c>
      <c r="B67" s="728"/>
      <c r="C67" s="728"/>
      <c r="D67" s="815"/>
      <c r="E67" s="815"/>
      <c r="F67" s="815"/>
      <c r="G67" s="815"/>
      <c r="H67" s="728"/>
      <c r="I67"/>
      <c r="J67"/>
      <c r="L67" s="772"/>
      <c r="P67" s="713" t="s">
        <v>1038</v>
      </c>
      <c r="Q67" s="713">
        <v>13495</v>
      </c>
      <c r="R67" s="713">
        <v>13900</v>
      </c>
      <c r="W67" s="714"/>
      <c r="Z67" s="429"/>
    </row>
    <row r="68" spans="1:37" ht="12.75" customHeight="1" x14ac:dyDescent="0.2">
      <c r="A68" s="736" t="s">
        <v>104</v>
      </c>
      <c r="B68" s="728"/>
      <c r="C68" s="728"/>
      <c r="D68" s="815"/>
      <c r="E68" s="815"/>
      <c r="F68" s="815"/>
      <c r="G68" s="815"/>
      <c r="H68" s="728"/>
      <c r="I68" s="861" t="s">
        <v>1039</v>
      </c>
      <c r="J68" s="862"/>
      <c r="L68" s="843" t="s">
        <v>650</v>
      </c>
      <c r="M68" s="843" t="str">
        <f>B$2</f>
        <v>DEF 2020</v>
      </c>
      <c r="N68" s="844"/>
      <c r="O68" s="844"/>
      <c r="P68" s="844"/>
      <c r="Q68" s="844"/>
      <c r="R68" s="843" t="str">
        <f>H$2</f>
        <v>SD 2021</v>
      </c>
      <c r="S68" s="832"/>
      <c r="T68" s="832"/>
      <c r="U68" s="832"/>
      <c r="V68" s="832"/>
      <c r="W68" s="714"/>
      <c r="Y68" s="713" t="s">
        <v>1040</v>
      </c>
      <c r="Z68" s="429"/>
      <c r="AD68"/>
      <c r="AE68"/>
      <c r="AF68"/>
      <c r="AG68"/>
      <c r="AH68"/>
      <c r="AI68"/>
      <c r="AJ68"/>
      <c r="AK68"/>
    </row>
    <row r="69" spans="1:37" ht="12.75" customHeight="1" x14ac:dyDescent="0.2">
      <c r="A69" s="817" t="s">
        <v>1041</v>
      </c>
      <c r="B69" s="731">
        <v>33965.709019539128</v>
      </c>
      <c r="C69" s="827">
        <f>SUM(C70:C72)+C73</f>
        <v>33960.263452389401</v>
      </c>
      <c r="D69" s="840">
        <f>H69/B69*100</f>
        <v>113.97912562385541</v>
      </c>
      <c r="E69" s="840">
        <f>H69/G69*100</f>
        <v>104.41510667612839</v>
      </c>
      <c r="F69" s="840">
        <f>G69/B69*100</f>
        <v>109.15961229383446</v>
      </c>
      <c r="G69" s="827">
        <f>SUM(G70:G72)+G73</f>
        <v>37076.836278580879</v>
      </c>
      <c r="H69" s="827">
        <f>SUM(H70:H72)+H73</f>
        <v>38713.818152413696</v>
      </c>
      <c r="I69" s="429">
        <v>38713.5</v>
      </c>
      <c r="J69" s="429"/>
      <c r="K69" s="581"/>
      <c r="L69" s="843"/>
      <c r="M69" s="843" t="s">
        <v>433</v>
      </c>
      <c r="N69" s="843" t="s">
        <v>434</v>
      </c>
      <c r="O69" s="846" t="s">
        <v>435</v>
      </c>
      <c r="P69" s="843" t="s">
        <v>436</v>
      </c>
      <c r="Q69" s="847" t="s">
        <v>437</v>
      </c>
      <c r="R69" s="843" t="s">
        <v>433</v>
      </c>
      <c r="S69" s="848" t="s">
        <v>614</v>
      </c>
      <c r="T69" s="848" t="s">
        <v>615</v>
      </c>
      <c r="U69" s="848" t="s">
        <v>616</v>
      </c>
      <c r="V69" s="848" t="s">
        <v>605</v>
      </c>
      <c r="W69" s="714"/>
      <c r="Y69" s="863" t="s">
        <v>1042</v>
      </c>
      <c r="Z69" s="576"/>
      <c r="AA69" s="864"/>
      <c r="AB69"/>
      <c r="AC69" s="865" t="s">
        <v>1043</v>
      </c>
      <c r="AD69" s="866" t="s">
        <v>1044</v>
      </c>
      <c r="AE69"/>
      <c r="AF69"/>
      <c r="AG69"/>
      <c r="AH69"/>
      <c r="AI69"/>
      <c r="AJ69"/>
      <c r="AK69"/>
    </row>
    <row r="70" spans="1:37" ht="12.75" customHeight="1" x14ac:dyDescent="0.2">
      <c r="A70" s="736" t="s">
        <v>620</v>
      </c>
      <c r="B70" s="731">
        <v>13399.509019539131</v>
      </c>
      <c r="C70" s="827">
        <f>C58</f>
        <v>13394.0634523894</v>
      </c>
      <c r="D70" s="840">
        <f>H70/B70*100</f>
        <v>125.63098729827537</v>
      </c>
      <c r="E70" s="840">
        <f>H70/G70*100</f>
        <v>104.59807523197003</v>
      </c>
      <c r="F70" s="840">
        <f>G70/B70*100</f>
        <v>120.10831654374145</v>
      </c>
      <c r="G70" s="827">
        <f t="shared" ref="G70:H72" si="12">G58</f>
        <v>16093.924708495246</v>
      </c>
      <c r="H70" s="827">
        <f t="shared" si="12"/>
        <v>16833.935474368471</v>
      </c>
      <c r="I70" s="867">
        <v>16830</v>
      </c>
      <c r="J70" s="868"/>
      <c r="K70" s="836" t="s">
        <v>654</v>
      </c>
      <c r="L70" s="720" t="s">
        <v>633</v>
      </c>
      <c r="M70" s="849">
        <f>B$13</f>
        <v>3918</v>
      </c>
      <c r="N70" s="852">
        <f>D$13</f>
        <v>113.18788648877597</v>
      </c>
      <c r="O70" s="852">
        <f>E$13</f>
        <v>104.68727940138361</v>
      </c>
      <c r="P70" s="852">
        <f>F$13</f>
        <v>108.12</v>
      </c>
      <c r="Q70" s="849">
        <f>G$13</f>
        <v>4236.1416000000008</v>
      </c>
      <c r="R70" s="849">
        <f>H$13</f>
        <v>4434.7013926302425</v>
      </c>
      <c r="S70" s="720" t="s">
        <v>634</v>
      </c>
      <c r="T70" s="854">
        <f>U70*O70/100</f>
        <v>84.95455808564661</v>
      </c>
      <c r="U70" s="869">
        <f>P$13</f>
        <v>81.150793650793645</v>
      </c>
      <c r="V70" s="870">
        <f>N70-T70</f>
        <v>28.233328403129363</v>
      </c>
      <c r="W70" s="714" t="s">
        <v>1045</v>
      </c>
      <c r="Y70" s="866"/>
      <c r="Z70" s="865" t="s">
        <v>1043</v>
      </c>
      <c r="AA70" s="866" t="s">
        <v>1044</v>
      </c>
      <c r="AB70"/>
      <c r="AC70"/>
      <c r="AD70"/>
      <c r="AE70"/>
      <c r="AF70"/>
      <c r="AG70"/>
      <c r="AH70"/>
      <c r="AI70"/>
      <c r="AJ70"/>
      <c r="AK70"/>
    </row>
    <row r="71" spans="1:37" ht="12.75" customHeight="1" x14ac:dyDescent="0.2">
      <c r="A71" s="736" t="s">
        <v>445</v>
      </c>
      <c r="B71" s="731">
        <v>14143</v>
      </c>
      <c r="C71" s="827">
        <f>C59</f>
        <v>14143</v>
      </c>
      <c r="D71" s="840">
        <f>H71/B71*100</f>
        <v>115.87223036790273</v>
      </c>
      <c r="E71" s="840">
        <f>H71/G71*100</f>
        <v>104.30250028033623</v>
      </c>
      <c r="F71" s="840">
        <f>G71/B71*100</f>
        <v>111.09247626516169</v>
      </c>
      <c r="G71" s="827">
        <f t="shared" si="12"/>
        <v>15711.808918181818</v>
      </c>
      <c r="H71" s="827">
        <f t="shared" si="12"/>
        <v>16387.809540932481</v>
      </c>
      <c r="I71" s="867">
        <v>16391.3</v>
      </c>
      <c r="J71" s="868"/>
      <c r="K71" s="836" t="s">
        <v>589</v>
      </c>
      <c r="L71" s="720" t="s">
        <v>1037</v>
      </c>
      <c r="M71" s="849">
        <f>B$23</f>
        <v>1576</v>
      </c>
      <c r="N71" s="871">
        <f>D$23</f>
        <v>110.25682087781732</v>
      </c>
      <c r="O71" s="852">
        <f>E$23</f>
        <v>104.38908659549229</v>
      </c>
      <c r="P71" s="852">
        <f>F$23</f>
        <v>105.62102272727272</v>
      </c>
      <c r="Q71" s="849">
        <f>G$23</f>
        <v>1664.5873181818181</v>
      </c>
      <c r="R71" s="849">
        <f>H$23</f>
        <v>1737.6474970344009</v>
      </c>
      <c r="S71" s="720" t="s">
        <v>510</v>
      </c>
      <c r="T71" s="854">
        <f>AB$31</f>
        <v>0</v>
      </c>
      <c r="U71" s="872"/>
      <c r="V71" s="870">
        <f>N71-T71</f>
        <v>110.25682087781732</v>
      </c>
      <c r="W71" s="714" t="s">
        <v>1046</v>
      </c>
      <c r="Y71" s="866" t="s">
        <v>635</v>
      </c>
      <c r="Z71" s="873">
        <f>Q70+Q71</f>
        <v>5900.7289181818187</v>
      </c>
      <c r="AA71" s="873">
        <f>R70+R71</f>
        <v>6172.3488896646431</v>
      </c>
      <c r="AB71"/>
      <c r="AC71" s="325">
        <f>Z71/Z73*AC73</f>
        <v>5904.443614103885</v>
      </c>
      <c r="AD71" s="325">
        <f>AA71/AA73*AD73</f>
        <v>6173.6635456042304</v>
      </c>
      <c r="AE71"/>
      <c r="AF71"/>
      <c r="AG71"/>
      <c r="AH71"/>
      <c r="AI71"/>
      <c r="AJ71"/>
      <c r="AK71"/>
    </row>
    <row r="72" spans="1:37" ht="12.75" customHeight="1" x14ac:dyDescent="0.2">
      <c r="A72" s="736" t="s">
        <v>104</v>
      </c>
      <c r="B72" s="731">
        <v>4691.5</v>
      </c>
      <c r="C72" s="731">
        <v>4691.5</v>
      </c>
      <c r="D72" s="840">
        <f>H72/B72*100</f>
        <v>111.37318847090989</v>
      </c>
      <c r="E72" s="840">
        <f>H72/G72*100</f>
        <v>104.16693400142192</v>
      </c>
      <c r="F72" s="840">
        <f>G72/B72*100</f>
        <v>106.91798653629337</v>
      </c>
      <c r="G72" s="827">
        <f t="shared" si="12"/>
        <v>5016.0573383502033</v>
      </c>
      <c r="H72" s="874">
        <f t="shared" si="12"/>
        <v>5225.0731371127376</v>
      </c>
      <c r="I72" s="875">
        <v>5225.7</v>
      </c>
      <c r="J72" s="876"/>
      <c r="K72" s="836" t="s">
        <v>1047</v>
      </c>
      <c r="L72" s="720" t="s">
        <v>494</v>
      </c>
      <c r="M72" s="849">
        <f>B$37</f>
        <v>6409</v>
      </c>
      <c r="N72" s="852">
        <f>D$37</f>
        <v>120.68197633959636</v>
      </c>
      <c r="O72" s="852">
        <f>E$37</f>
        <v>104.03618649965205</v>
      </c>
      <c r="P72" s="852">
        <f>F$37</f>
        <v>116</v>
      </c>
      <c r="Q72" s="849">
        <f>G$37</f>
        <v>7434.44</v>
      </c>
      <c r="R72" s="849">
        <f>H$37</f>
        <v>7734.507863604731</v>
      </c>
      <c r="S72" s="720" t="s">
        <v>1048</v>
      </c>
      <c r="T72" s="854">
        <f>T$30</f>
        <v>110.75682087781732</v>
      </c>
      <c r="U72" s="854"/>
      <c r="V72" s="870">
        <f>N72-T72</f>
        <v>9.9251554617790418</v>
      </c>
      <c r="W72" s="714" t="s">
        <v>1049</v>
      </c>
      <c r="Y72" s="866" t="s">
        <v>639</v>
      </c>
      <c r="Z72" s="873">
        <f>(Q72+Q73)</f>
        <v>9811.08</v>
      </c>
      <c r="AA72" s="873">
        <f>(R72+R73)</f>
        <v>10215.46065126784</v>
      </c>
      <c r="AB72"/>
      <c r="AC72" s="325">
        <f>Z72/Z73*AC73</f>
        <v>9817.2563858961166</v>
      </c>
      <c r="AD72" s="325">
        <f>AA72/AA73*AD73</f>
        <v>10217.636454395772</v>
      </c>
      <c r="AE72"/>
      <c r="AF72"/>
      <c r="AG72"/>
      <c r="AH72"/>
      <c r="AI72"/>
      <c r="AJ72"/>
      <c r="AK72"/>
    </row>
    <row r="73" spans="1:37" ht="12.75" customHeight="1" x14ac:dyDescent="0.2">
      <c r="A73" s="824" t="s">
        <v>624</v>
      </c>
      <c r="B73" s="731">
        <v>1731.7</v>
      </c>
      <c r="C73" s="731">
        <v>1731.7</v>
      </c>
      <c r="D73" s="815">
        <f>H73/B73*100</f>
        <v>15.418375007218341</v>
      </c>
      <c r="E73" s="877">
        <f>E5</f>
        <v>104.68727940138361</v>
      </c>
      <c r="F73" s="815">
        <f>G73/B73*100</f>
        <v>14.728031041959206</v>
      </c>
      <c r="G73" s="731">
        <f>H73/E73*100</f>
        <v>255.04531355360754</v>
      </c>
      <c r="H73" s="878">
        <v>267</v>
      </c>
      <c r="I73" s="713">
        <v>267</v>
      </c>
      <c r="K73" s="836" t="s">
        <v>1050</v>
      </c>
      <c r="L73" s="720" t="s">
        <v>1051</v>
      </c>
      <c r="M73" s="849">
        <f>B$40</f>
        <v>2240</v>
      </c>
      <c r="N73" s="852">
        <f>D$40</f>
        <v>110.75682087781732</v>
      </c>
      <c r="O73" s="852">
        <f>E$40</f>
        <v>104.38908659549229</v>
      </c>
      <c r="P73" s="852">
        <f>F$40</f>
        <v>106.10000000000002</v>
      </c>
      <c r="Q73" s="849">
        <f>G$40</f>
        <v>2376.6400000000003</v>
      </c>
      <c r="R73" s="849">
        <f>H$40</f>
        <v>2480.9527876631082</v>
      </c>
      <c r="S73" s="720" t="s">
        <v>510</v>
      </c>
      <c r="T73" s="854">
        <f>AB$31</f>
        <v>0</v>
      </c>
      <c r="U73" s="872"/>
      <c r="V73" s="870">
        <f>N73-T73</f>
        <v>110.75682087781732</v>
      </c>
      <c r="W73" s="714"/>
      <c r="Z73" s="576">
        <f>SUM(Z71:Z72)</f>
        <v>15711.808918181818</v>
      </c>
      <c r="AA73" s="576">
        <f>SUM(AA71:AA72)</f>
        <v>16387.809540932481</v>
      </c>
      <c r="AB73"/>
      <c r="AC73" s="873">
        <v>15721.7</v>
      </c>
      <c r="AD73" s="873">
        <v>16391.3</v>
      </c>
      <c r="AE73"/>
      <c r="AF73"/>
      <c r="AG73"/>
      <c r="AH73"/>
      <c r="AI73"/>
      <c r="AJ73"/>
      <c r="AK73"/>
    </row>
    <row r="74" spans="1:37" ht="12.75" customHeight="1" x14ac:dyDescent="0.2">
      <c r="B74" s="879" t="s">
        <v>626</v>
      </c>
      <c r="C74" s="879" t="s">
        <v>626</v>
      </c>
      <c r="D74" s="772"/>
      <c r="E74" s="875">
        <f>E69</f>
        <v>104.41510667612839</v>
      </c>
      <c r="H74"/>
      <c r="I74"/>
      <c r="J74"/>
      <c r="L74" s="856" t="s">
        <v>650</v>
      </c>
      <c r="M74" s="849">
        <f>B$59</f>
        <v>14143</v>
      </c>
      <c r="N74" s="852">
        <f>D$59</f>
        <v>115.87223036790273</v>
      </c>
      <c r="O74" s="852">
        <f>E$59</f>
        <v>104.30250028033623</v>
      </c>
      <c r="P74" s="852">
        <f>F$59</f>
        <v>111.09247626516169</v>
      </c>
      <c r="Q74" s="849">
        <f>G$59</f>
        <v>15711.808918181818</v>
      </c>
      <c r="R74" s="880">
        <f>M74*N74/100</f>
        <v>16387.809540932485</v>
      </c>
      <c r="W74" s="71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ht="12.75" customHeight="1" x14ac:dyDescent="0.2">
      <c r="B75" s="879" t="s">
        <v>630</v>
      </c>
      <c r="C75" s="879" t="s">
        <v>630</v>
      </c>
      <c r="D75" s="772"/>
      <c r="E75" s="881">
        <f>E58</f>
        <v>104.59807523197003</v>
      </c>
      <c r="H75" s="325"/>
      <c r="I75" s="599"/>
      <c r="J75" s="599"/>
      <c r="L75" s="856" t="s">
        <v>663</v>
      </c>
      <c r="M75" s="849">
        <f>M74-M76</f>
        <v>11492</v>
      </c>
      <c r="N75" s="882">
        <f>R75/M75*100</f>
        <v>119.24564515256253</v>
      </c>
      <c r="O75" s="850">
        <f>R75/Q75*100</f>
        <v>104.30250028033623</v>
      </c>
      <c r="P75" s="854">
        <f>N75/O75*100</f>
        <v>114.32673697376694</v>
      </c>
      <c r="Q75" s="883">
        <f>Q74-Q76</f>
        <v>13138.428613025295</v>
      </c>
      <c r="R75" s="884">
        <f>R74-R76</f>
        <v>13703.709540932485</v>
      </c>
      <c r="S75" s="713">
        <v>13047</v>
      </c>
      <c r="T75" s="713">
        <v>13692</v>
      </c>
      <c r="W75"/>
      <c r="X75"/>
      <c r="Y75"/>
      <c r="Z75"/>
      <c r="AA75"/>
      <c r="AB75"/>
      <c r="AC75"/>
      <c r="AD75"/>
      <c r="AE75"/>
      <c r="AF75"/>
    </row>
    <row r="76" spans="1:37" ht="15" customHeight="1" x14ac:dyDescent="0.2">
      <c r="A76" s="772"/>
      <c r="B76" s="879" t="s">
        <v>631</v>
      </c>
      <c r="C76" s="879" t="s">
        <v>631</v>
      </c>
      <c r="D76" s="789"/>
      <c r="E76" s="881">
        <f>E59</f>
        <v>104.30250028033623</v>
      </c>
      <c r="H76" s="325"/>
      <c r="I76"/>
      <c r="J76"/>
      <c r="L76" s="856" t="s">
        <v>1052</v>
      </c>
      <c r="M76" s="885">
        <v>2651</v>
      </c>
      <c r="N76" s="850">
        <f>R76/M76*100</f>
        <v>101.2485854394568</v>
      </c>
      <c r="O76" s="852">
        <f>O74</f>
        <v>104.30250028033623</v>
      </c>
      <c r="P76" s="854">
        <f>N76/O76*100</f>
        <v>97.072059794663261</v>
      </c>
      <c r="Q76" s="886">
        <f>R76/O76*100</f>
        <v>2573.3803051565233</v>
      </c>
      <c r="R76" s="887">
        <v>2684.1</v>
      </c>
      <c r="S76" s="860">
        <f>(1402+27+72+476)</f>
        <v>1977</v>
      </c>
      <c r="T76" s="830">
        <v>2358</v>
      </c>
      <c r="W76"/>
      <c r="X76"/>
      <c r="Y76"/>
      <c r="Z76"/>
      <c r="AA76"/>
      <c r="AB76"/>
      <c r="AC76"/>
      <c r="AD76"/>
      <c r="AE76"/>
      <c r="AF76"/>
    </row>
    <row r="77" spans="1:37" ht="12.75" customHeight="1" x14ac:dyDescent="0.2">
      <c r="B77" s="879" t="s">
        <v>636</v>
      </c>
      <c r="C77" s="879" t="s">
        <v>636</v>
      </c>
      <c r="D77" s="789"/>
      <c r="E77" s="881">
        <f>E60</f>
        <v>104.16693400142192</v>
      </c>
      <c r="H77"/>
      <c r="I77"/>
      <c r="J77"/>
      <c r="P77" s="713" t="s">
        <v>1038</v>
      </c>
      <c r="R77" s="888"/>
      <c r="S77"/>
      <c r="T77" s="713">
        <f>SUM(T75:T76)</f>
        <v>16050</v>
      </c>
      <c r="W77"/>
      <c r="X77"/>
      <c r="Y77"/>
      <c r="Z77"/>
      <c r="AA77"/>
      <c r="AB77"/>
      <c r="AC77"/>
      <c r="AD77"/>
      <c r="AE77"/>
      <c r="AF77"/>
    </row>
    <row r="78" spans="1:37" ht="23.25" customHeight="1" x14ac:dyDescent="0.2">
      <c r="A78"/>
      <c r="B78"/>
      <c r="C78"/>
      <c r="D78"/>
      <c r="E78"/>
      <c r="F78"/>
      <c r="G78"/>
      <c r="H78" s="325"/>
      <c r="I78"/>
      <c r="J78"/>
      <c r="L78" s="843" t="s">
        <v>627</v>
      </c>
      <c r="M78" s="843" t="str">
        <f>B$2</f>
        <v>DEF 2020</v>
      </c>
      <c r="N78" s="844"/>
      <c r="O78" s="844"/>
      <c r="P78" s="844"/>
      <c r="Q78" s="844"/>
      <c r="R78" s="843" t="str">
        <f>H$2</f>
        <v>SD 2021</v>
      </c>
      <c r="W78"/>
      <c r="X78"/>
      <c r="Y78" s="713"/>
      <c r="Z78" s="889"/>
      <c r="AB78"/>
      <c r="AC78"/>
      <c r="AD78"/>
      <c r="AE78"/>
      <c r="AF78"/>
    </row>
    <row r="79" spans="1:37" ht="23.25" customHeight="1" x14ac:dyDescent="0.2">
      <c r="A79"/>
      <c r="B79" s="890"/>
      <c r="C79"/>
      <c r="D79"/>
      <c r="E79"/>
      <c r="F79"/>
      <c r="G79"/>
      <c r="H79"/>
      <c r="I79"/>
      <c r="J79"/>
      <c r="L79" s="843"/>
      <c r="M79" s="843" t="s">
        <v>433</v>
      </c>
      <c r="N79" s="843" t="s">
        <v>434</v>
      </c>
      <c r="O79" s="846" t="s">
        <v>435</v>
      </c>
      <c r="P79" s="843" t="s">
        <v>436</v>
      </c>
      <c r="Q79" s="847" t="s">
        <v>437</v>
      </c>
      <c r="R79" s="843" t="s">
        <v>433</v>
      </c>
      <c r="S79" s="848" t="s">
        <v>614</v>
      </c>
      <c r="T79" s="848" t="s">
        <v>615</v>
      </c>
      <c r="U79" s="848" t="s">
        <v>616</v>
      </c>
      <c r="V79" s="848" t="s">
        <v>605</v>
      </c>
      <c r="W79"/>
      <c r="X79"/>
      <c r="Y79" s="891" t="s">
        <v>627</v>
      </c>
      <c r="AB79"/>
      <c r="AC79"/>
      <c r="AD79"/>
      <c r="AE79"/>
      <c r="AF79"/>
    </row>
    <row r="80" spans="1:37" ht="13.7" customHeight="1" x14ac:dyDescent="0.2">
      <c r="A80"/>
      <c r="B80" s="890"/>
      <c r="C80"/>
      <c r="D80"/>
      <c r="E80"/>
      <c r="F80"/>
      <c r="G80"/>
      <c r="H80"/>
      <c r="I80"/>
      <c r="J80"/>
      <c r="K80" s="836" t="s">
        <v>632</v>
      </c>
      <c r="L80" s="720" t="s">
        <v>633</v>
      </c>
      <c r="M80" s="849">
        <f>B$14</f>
        <v>191.27422612173999</v>
      </c>
      <c r="N80" s="850">
        <f>D$14</f>
        <v>109.41914443032617</v>
      </c>
      <c r="O80" s="850">
        <f>E$14</f>
        <v>104.68727940138361</v>
      </c>
      <c r="P80" s="850">
        <f>F$14</f>
        <v>104.52</v>
      </c>
      <c r="Q80" s="849">
        <f>G$14</f>
        <v>199.91982114244266</v>
      </c>
      <c r="R80" s="849">
        <f>H$14</f>
        <v>209.29062173813531</v>
      </c>
      <c r="S80" s="720" t="s">
        <v>634</v>
      </c>
      <c r="T80" s="854">
        <f>U80*O80/100</f>
        <v>84.95455808564661</v>
      </c>
      <c r="U80" s="851">
        <f>P$13</f>
        <v>81.150793650793645</v>
      </c>
      <c r="V80" s="852">
        <f>P80-U80</f>
        <v>23.369206349206351</v>
      </c>
      <c r="W80"/>
      <c r="X80"/>
      <c r="Y80" s="866" t="s">
        <v>651</v>
      </c>
      <c r="Z80" s="865" t="s">
        <v>1043</v>
      </c>
      <c r="AA80" s="866" t="s">
        <v>1044</v>
      </c>
      <c r="AB80"/>
      <c r="AC80"/>
      <c r="AD80"/>
      <c r="AE80"/>
      <c r="AF80"/>
    </row>
    <row r="81" spans="1:32" ht="13.7" customHeight="1" x14ac:dyDescent="0.2">
      <c r="A81"/>
      <c r="B81" s="890"/>
      <c r="C81"/>
      <c r="D81"/>
      <c r="E81"/>
      <c r="F81"/>
      <c r="G81"/>
      <c r="H81"/>
      <c r="I81"/>
      <c r="J81"/>
      <c r="K81" s="836" t="s">
        <v>674</v>
      </c>
      <c r="L81" s="720" t="s">
        <v>1053</v>
      </c>
      <c r="M81" s="849">
        <f>B$24</f>
        <v>134.40545815789039</v>
      </c>
      <c r="N81" s="892">
        <f>D$24</f>
        <v>101.25495009730673</v>
      </c>
      <c r="O81" s="850">
        <f>E$24</f>
        <v>104.38908659549229</v>
      </c>
      <c r="P81" s="850">
        <f>F$24</f>
        <v>96.997639695488175</v>
      </c>
      <c r="Q81" s="849">
        <f>G$24</f>
        <v>130.37012203506063</v>
      </c>
      <c r="R81" s="849">
        <f>H$24</f>
        <v>136.0921795858284</v>
      </c>
      <c r="S81" s="720" t="s">
        <v>510</v>
      </c>
      <c r="T81" s="850">
        <f>AB$31</f>
        <v>0</v>
      </c>
      <c r="U81" s="720"/>
      <c r="V81" s="852">
        <f>N81-T81</f>
        <v>101.25495009730673</v>
      </c>
      <c r="W81" s="714"/>
      <c r="Y81" s="866" t="s">
        <v>635</v>
      </c>
      <c r="Z81" s="873">
        <f>(Q80+Q81)</f>
        <v>330.28994317750329</v>
      </c>
      <c r="AA81" s="873">
        <f>(R80+R81)</f>
        <v>345.38280132396369</v>
      </c>
      <c r="AB81"/>
      <c r="AC81"/>
      <c r="AD81"/>
      <c r="AE81"/>
      <c r="AF81"/>
    </row>
    <row r="82" spans="1:32" ht="13.7" customHeight="1" x14ac:dyDescent="0.2">
      <c r="A82"/>
      <c r="B82" s="890"/>
      <c r="C82"/>
      <c r="D82"/>
      <c r="E82"/>
      <c r="F82"/>
      <c r="G82"/>
      <c r="H82"/>
      <c r="I82"/>
      <c r="J82"/>
      <c r="K82" s="836" t="s">
        <v>1054</v>
      </c>
      <c r="L82" s="720" t="s">
        <v>494</v>
      </c>
      <c r="M82" s="849">
        <f>B$38</f>
        <v>3049.0963659266613</v>
      </c>
      <c r="N82" s="850">
        <f>D$38</f>
        <v>113.5034794711204</v>
      </c>
      <c r="O82" s="850">
        <f>E$38</f>
        <v>104.03618649965205</v>
      </c>
      <c r="P82" s="850">
        <f>F$38</f>
        <v>109.10000000000001</v>
      </c>
      <c r="Q82" s="849">
        <f>G$38</f>
        <v>3326.5641352259877</v>
      </c>
      <c r="R82" s="849">
        <f>H$38</f>
        <v>3460.830467754246</v>
      </c>
      <c r="S82" s="720" t="s">
        <v>1048</v>
      </c>
      <c r="T82" s="854">
        <f>T$31</f>
        <v>110.75682087781732</v>
      </c>
      <c r="U82" s="720"/>
      <c r="V82" s="852">
        <f>N82-T82</f>
        <v>2.7466585933030814</v>
      </c>
      <c r="W82" s="714" t="s">
        <v>1055</v>
      </c>
      <c r="Y82" s="866" t="s">
        <v>639</v>
      </c>
      <c r="Z82" s="873">
        <f>(Q82+Q83)</f>
        <v>4685.7673951727002</v>
      </c>
      <c r="AA82" s="873">
        <f>(R82+R83)</f>
        <v>4879.6903357887741</v>
      </c>
      <c r="AB82"/>
      <c r="AC82"/>
      <c r="AD82"/>
      <c r="AE82"/>
      <c r="AF82"/>
    </row>
    <row r="83" spans="1:32" ht="13.7" customHeight="1" x14ac:dyDescent="0.2">
      <c r="A83"/>
      <c r="B83" s="890"/>
      <c r="C83"/>
      <c r="D83"/>
      <c r="E83"/>
      <c r="F83"/>
      <c r="G83"/>
      <c r="H83"/>
      <c r="I83"/>
      <c r="J83"/>
      <c r="K83" s="836" t="s">
        <v>1056</v>
      </c>
      <c r="L83" s="720" t="s">
        <v>1051</v>
      </c>
      <c r="M83" s="849">
        <f>B$41</f>
        <v>1316.7239497937085</v>
      </c>
      <c r="N83" s="850">
        <f>D$41</f>
        <v>107.75682087781732</v>
      </c>
      <c r="O83" s="850">
        <f>E$41</f>
        <v>104.38908659549229</v>
      </c>
      <c r="P83" s="850">
        <f>F$41</f>
        <v>103.22613636363639</v>
      </c>
      <c r="Q83" s="849">
        <f>G$41</f>
        <v>1359.2032599467125</v>
      </c>
      <c r="R83" s="849">
        <f>H$41</f>
        <v>1418.8598680345278</v>
      </c>
      <c r="S83" s="720" t="s">
        <v>510</v>
      </c>
      <c r="T83" s="850">
        <f>AB$31</f>
        <v>0</v>
      </c>
      <c r="U83" s="720"/>
      <c r="V83" s="852">
        <f>N83-T83</f>
        <v>107.75682087781732</v>
      </c>
      <c r="W83" s="714"/>
      <c r="Z83" s="576">
        <f>SUM(Z81:Z82)</f>
        <v>5016.0573383502033</v>
      </c>
      <c r="AA83" s="576">
        <f>SUM(AA81:AA82)</f>
        <v>5225.0731371127376</v>
      </c>
      <c r="AB83"/>
      <c r="AC83"/>
      <c r="AD83"/>
      <c r="AE83"/>
      <c r="AF83"/>
    </row>
    <row r="84" spans="1:32" ht="13.7" customHeight="1" x14ac:dyDescent="0.2">
      <c r="A84"/>
      <c r="B84" s="890"/>
      <c r="C84"/>
      <c r="D84"/>
      <c r="E84"/>
      <c r="F84"/>
      <c r="G84"/>
      <c r="H84"/>
      <c r="I84"/>
      <c r="J84"/>
      <c r="L84" s="893" t="s">
        <v>599</v>
      </c>
      <c r="M84" s="849">
        <f>B$72</f>
        <v>4691.5</v>
      </c>
      <c r="N84" s="850">
        <f>D$72</f>
        <v>111.37318847090989</v>
      </c>
      <c r="O84" s="850">
        <f>E$72</f>
        <v>104.16693400142192</v>
      </c>
      <c r="P84" s="850">
        <f>F$72</f>
        <v>106.91798653629337</v>
      </c>
      <c r="Q84" s="849">
        <f>G$72</f>
        <v>5016.0573383502033</v>
      </c>
      <c r="R84" s="894">
        <f>B$81</f>
        <v>0</v>
      </c>
      <c r="Y84"/>
      <c r="Z84"/>
      <c r="AA84"/>
      <c r="AB84"/>
      <c r="AC84"/>
      <c r="AD84"/>
    </row>
    <row r="85" spans="1:32" ht="14.65" customHeight="1" x14ac:dyDescent="0.2">
      <c r="A85"/>
      <c r="B85" s="890"/>
      <c r="C85"/>
      <c r="D85"/>
      <c r="E85"/>
      <c r="F85"/>
      <c r="G85"/>
      <c r="H85"/>
      <c r="I85"/>
      <c r="J85"/>
      <c r="L85" s="770" t="s">
        <v>1057</v>
      </c>
      <c r="P85" s="713" t="s">
        <v>1038</v>
      </c>
      <c r="Q85" s="713">
        <v>4471</v>
      </c>
      <c r="R85" s="713">
        <v>4551</v>
      </c>
      <c r="Y85"/>
      <c r="Z85"/>
      <c r="AA85"/>
      <c r="AB85"/>
    </row>
    <row r="86" spans="1:32" ht="30.2" customHeight="1" x14ac:dyDescent="0.2">
      <c r="A86"/>
      <c r="B86" s="890"/>
      <c r="C86"/>
      <c r="D86"/>
      <c r="E86"/>
      <c r="F86"/>
      <c r="G86"/>
      <c r="H86"/>
      <c r="I86"/>
      <c r="J86"/>
      <c r="L86" s="895" t="s">
        <v>1058</v>
      </c>
      <c r="M86" s="896" t="str">
        <f>B$2</f>
        <v>DEF 2020</v>
      </c>
      <c r="N86" s="897"/>
      <c r="O86" s="897"/>
      <c r="P86" s="897"/>
      <c r="Q86" s="897"/>
      <c r="R86" s="896" t="str">
        <f>H$2</f>
        <v>SD 2021</v>
      </c>
      <c r="X86"/>
      <c r="Y86"/>
      <c r="Z86"/>
      <c r="AA86"/>
      <c r="AB86"/>
    </row>
    <row r="87" spans="1:32" ht="12.75" customHeight="1" x14ac:dyDescent="0.2">
      <c r="A87"/>
      <c r="B87" s="890"/>
      <c r="C87"/>
      <c r="D87"/>
      <c r="E87"/>
      <c r="F87"/>
      <c r="G87"/>
      <c r="H87"/>
      <c r="I87"/>
      <c r="J87"/>
      <c r="L87" s="898"/>
      <c r="M87" s="896" t="s">
        <v>433</v>
      </c>
      <c r="N87" s="896" t="s">
        <v>434</v>
      </c>
      <c r="O87" s="899" t="s">
        <v>435</v>
      </c>
      <c r="P87" s="896" t="s">
        <v>436</v>
      </c>
      <c r="Q87" s="900" t="s">
        <v>437</v>
      </c>
      <c r="R87" s="901" t="s">
        <v>433</v>
      </c>
      <c r="S87" s="902" t="s">
        <v>614</v>
      </c>
      <c r="T87" s="902" t="s">
        <v>615</v>
      </c>
      <c r="U87" s="902" t="s">
        <v>616</v>
      </c>
      <c r="V87" s="902" t="s">
        <v>605</v>
      </c>
      <c r="X87"/>
      <c r="Y87"/>
      <c r="Z87"/>
      <c r="AA87"/>
      <c r="AB87"/>
    </row>
    <row r="88" spans="1:32" ht="13.7" customHeight="1" x14ac:dyDescent="0.2">
      <c r="A88"/>
      <c r="B88" s="890"/>
      <c r="C88"/>
      <c r="D88"/>
      <c r="E88"/>
      <c r="F88"/>
      <c r="G88"/>
      <c r="H88"/>
      <c r="I88"/>
      <c r="J88"/>
      <c r="K88" s="836" t="s">
        <v>654</v>
      </c>
      <c r="L88" s="866" t="s">
        <v>690</v>
      </c>
      <c r="M88" s="903">
        <f>B$13</f>
        <v>3918</v>
      </c>
      <c r="N88" s="904">
        <f>D$13</f>
        <v>113.18788648877597</v>
      </c>
      <c r="O88" s="904">
        <f>E$13</f>
        <v>104.68727940138361</v>
      </c>
      <c r="P88" s="904">
        <f>F$13</f>
        <v>108.12</v>
      </c>
      <c r="Q88" s="903">
        <f>G$13</f>
        <v>4236.1416000000008</v>
      </c>
      <c r="R88" s="903">
        <f>H$13</f>
        <v>4434.7013926302425</v>
      </c>
      <c r="S88" s="866" t="s">
        <v>684</v>
      </c>
      <c r="T88" s="472">
        <f>U88*O88/100</f>
        <v>106.19477622476352</v>
      </c>
      <c r="U88" s="905">
        <f>P$12</f>
        <v>101.44</v>
      </c>
      <c r="V88" s="906">
        <f>N88-T88</f>
        <v>6.9931102640124578</v>
      </c>
      <c r="X88"/>
      <c r="Y88"/>
      <c r="Z88"/>
      <c r="AA88"/>
      <c r="AB88"/>
    </row>
    <row r="89" spans="1:32" ht="13.7" customHeight="1" x14ac:dyDescent="0.2">
      <c r="A89"/>
      <c r="B89" s="890"/>
      <c r="C89"/>
      <c r="D89"/>
      <c r="E89"/>
      <c r="F89"/>
      <c r="G89"/>
      <c r="H89"/>
      <c r="I89"/>
      <c r="J89"/>
      <c r="K89" s="836" t="s">
        <v>632</v>
      </c>
      <c r="L89" s="866" t="s">
        <v>689</v>
      </c>
      <c r="M89" s="903">
        <f>B$14</f>
        <v>191.27422612173999</v>
      </c>
      <c r="N89" s="907">
        <f>D$14</f>
        <v>109.41914443032617</v>
      </c>
      <c r="O89" s="907">
        <f>E$14</f>
        <v>104.68727940138361</v>
      </c>
      <c r="P89" s="907">
        <f>F$14</f>
        <v>104.52</v>
      </c>
      <c r="Q89" s="903">
        <f>G$14</f>
        <v>199.91982114244266</v>
      </c>
      <c r="R89" s="908">
        <f>H$14</f>
        <v>209.29062173813531</v>
      </c>
      <c r="S89" s="866" t="s">
        <v>684</v>
      </c>
      <c r="T89" s="472">
        <f>U89*O89/100</f>
        <v>106.19477622476352</v>
      </c>
      <c r="U89" s="909">
        <f>P$12</f>
        <v>101.44</v>
      </c>
      <c r="V89" s="910">
        <f>P89-U89</f>
        <v>3.0799999999999983</v>
      </c>
      <c r="X89"/>
      <c r="Y89"/>
      <c r="Z89"/>
      <c r="AA89"/>
      <c r="AB89"/>
    </row>
    <row r="90" spans="1:32" ht="13.7" customHeight="1" x14ac:dyDescent="0.2">
      <c r="A90"/>
      <c r="B90" s="890"/>
      <c r="C90"/>
      <c r="D90"/>
      <c r="E90"/>
      <c r="F90"/>
      <c r="G90"/>
      <c r="H90"/>
      <c r="I90"/>
      <c r="J90"/>
      <c r="K90" s="836" t="s">
        <v>589</v>
      </c>
      <c r="L90" s="866" t="s">
        <v>1059</v>
      </c>
      <c r="M90" s="903">
        <f>B$23</f>
        <v>1576</v>
      </c>
      <c r="N90" s="911">
        <f>D$23</f>
        <v>110.25682087781732</v>
      </c>
      <c r="O90" s="904">
        <f>E$23</f>
        <v>104.38908659549229</v>
      </c>
      <c r="P90" s="904">
        <f>F$23</f>
        <v>105.62102272727272</v>
      </c>
      <c r="Q90" s="903">
        <f>G$23</f>
        <v>1664.5873181818181</v>
      </c>
      <c r="R90" s="903">
        <f>H$23</f>
        <v>1737.6474970344009</v>
      </c>
      <c r="S90" s="866" t="s">
        <v>510</v>
      </c>
      <c r="T90" s="472">
        <f>AB$31</f>
        <v>0</v>
      </c>
      <c r="U90" s="912"/>
      <c r="V90" s="906">
        <f>N90-T90</f>
        <v>110.25682087781732</v>
      </c>
      <c r="X90"/>
      <c r="Y90"/>
      <c r="Z90"/>
      <c r="AA90"/>
      <c r="AB90"/>
    </row>
    <row r="91" spans="1:32" ht="13.7" customHeight="1" x14ac:dyDescent="0.2">
      <c r="A91"/>
      <c r="B91"/>
      <c r="C91"/>
      <c r="D91"/>
      <c r="E91"/>
      <c r="F91"/>
      <c r="G91"/>
      <c r="H91"/>
      <c r="I91"/>
      <c r="J91"/>
      <c r="K91" s="836" t="s">
        <v>674</v>
      </c>
      <c r="L91" s="913" t="s">
        <v>1060</v>
      </c>
      <c r="M91" s="914">
        <f>B$24</f>
        <v>134.40545815789039</v>
      </c>
      <c r="N91" s="915">
        <f>D$24</f>
        <v>101.25495009730673</v>
      </c>
      <c r="O91" s="916">
        <f>E$24</f>
        <v>104.38908659549229</v>
      </c>
      <c r="P91" s="916">
        <f>F$24</f>
        <v>96.997639695488175</v>
      </c>
      <c r="Q91" s="914">
        <f>G$24</f>
        <v>130.37012203506063</v>
      </c>
      <c r="R91" s="917">
        <f>H$24</f>
        <v>136.0921795858284</v>
      </c>
      <c r="S91" s="866" t="s">
        <v>510</v>
      </c>
      <c r="T91" s="907">
        <f>AB$31</f>
        <v>0</v>
      </c>
      <c r="U91" s="866"/>
      <c r="V91" s="910">
        <f>N91-T91</f>
        <v>101.25495009730673</v>
      </c>
      <c r="X91"/>
      <c r="Y91"/>
      <c r="Z91"/>
      <c r="AA91"/>
      <c r="AB91"/>
    </row>
    <row r="92" spans="1:32" ht="13.7" customHeight="1" x14ac:dyDescent="0.2">
      <c r="A92"/>
      <c r="B92"/>
      <c r="C92"/>
      <c r="D92"/>
      <c r="E92"/>
      <c r="F92"/>
      <c r="G92"/>
      <c r="H92"/>
      <c r="I92"/>
      <c r="J92"/>
      <c r="L92" s="918" t="s">
        <v>685</v>
      </c>
      <c r="M92" s="903">
        <f>M88+M89</f>
        <v>4109.27422612174</v>
      </c>
      <c r="N92" s="919">
        <f>R92/M92*100</f>
        <v>113.01246300009757</v>
      </c>
      <c r="O92" s="907">
        <f>R92/Q92*100</f>
        <v>104.68727940138358</v>
      </c>
      <c r="P92" s="866">
        <f>Q92/M92*100</f>
        <v>107.95243094129347</v>
      </c>
      <c r="Q92" s="903">
        <f>Q88+Q89</f>
        <v>4436.0614211424436</v>
      </c>
      <c r="R92" s="903">
        <f>R88+R89</f>
        <v>4643.9920143683776</v>
      </c>
      <c r="S92" s="920" t="s">
        <v>1061</v>
      </c>
      <c r="X92"/>
      <c r="Y92"/>
      <c r="Z92"/>
      <c r="AA92"/>
      <c r="AB92"/>
    </row>
    <row r="93" spans="1:32" ht="12.75" customHeight="1" x14ac:dyDescent="0.2">
      <c r="A93"/>
      <c r="B93"/>
      <c r="C93"/>
      <c r="D93"/>
      <c r="E93"/>
      <c r="F93"/>
      <c r="G93"/>
      <c r="H93"/>
      <c r="L93" s="918" t="s">
        <v>686</v>
      </c>
      <c r="M93" s="903">
        <f>M90+M91</f>
        <v>1710.4054581578903</v>
      </c>
      <c r="N93" s="919">
        <f>R93/M93*100</f>
        <v>109.5494444129201</v>
      </c>
      <c r="O93" s="866">
        <f>R93/Q93*100</f>
        <v>104.38908659549229</v>
      </c>
      <c r="P93" s="866">
        <f>Q93/M93*100</f>
        <v>104.94338822737686</v>
      </c>
      <c r="Q93" s="903">
        <f>Q90+Q91</f>
        <v>1794.9574402168787</v>
      </c>
      <c r="R93" s="903">
        <f>R90+R91</f>
        <v>1873.7396766202294</v>
      </c>
      <c r="X93"/>
      <c r="Y93"/>
      <c r="Z93"/>
      <c r="AA93"/>
      <c r="AB93"/>
    </row>
    <row r="94" spans="1:32" ht="12.75" customHeight="1" x14ac:dyDescent="0.2">
      <c r="A94"/>
      <c r="B94"/>
      <c r="C94"/>
      <c r="D94"/>
      <c r="E94"/>
      <c r="F94"/>
      <c r="G94"/>
      <c r="H94"/>
      <c r="M94" s="830">
        <f>SUM(M92:M93)</f>
        <v>5819.6796842796302</v>
      </c>
      <c r="N94" s="919">
        <f>R94/M94*100</f>
        <v>111.99468088586704</v>
      </c>
      <c r="O94" s="866">
        <f>R94/Q94*100</f>
        <v>104.60137958187367</v>
      </c>
      <c r="P94" s="866">
        <f>Q94/M94*100</f>
        <v>107.0680724609435</v>
      </c>
      <c r="Q94" s="830">
        <f>SUM(Q92:Q93)</f>
        <v>6231.0188613593218</v>
      </c>
      <c r="R94" s="830">
        <f>SUM(R92:R93)</f>
        <v>6517.7316909886067</v>
      </c>
      <c r="X94"/>
      <c r="Y94"/>
      <c r="Z94"/>
      <c r="AA94"/>
      <c r="AB94"/>
    </row>
    <row r="95" spans="1:32" ht="12.75" customHeight="1" x14ac:dyDescent="0.2">
      <c r="A95"/>
      <c r="B95"/>
      <c r="C95"/>
      <c r="D95"/>
      <c r="E95"/>
      <c r="F95"/>
      <c r="G95"/>
      <c r="H95"/>
    </row>
    <row r="96" spans="1:32" ht="12.75" customHeight="1" x14ac:dyDescent="0.2">
      <c r="A96"/>
      <c r="B96"/>
      <c r="C96"/>
      <c r="D96"/>
      <c r="E96"/>
      <c r="F96"/>
      <c r="G96"/>
      <c r="H96"/>
      <c r="L96" s="891" t="s">
        <v>667</v>
      </c>
      <c r="M96" s="896" t="str">
        <f>B$2</f>
        <v>DEF 2020</v>
      </c>
      <c r="N96" s="897"/>
      <c r="O96" s="897"/>
      <c r="P96" s="897"/>
      <c r="Q96" s="897"/>
      <c r="R96" s="896" t="str">
        <f>H$2</f>
        <v>SD 2021</v>
      </c>
    </row>
    <row r="97" spans="1:26" ht="12.75" customHeight="1" x14ac:dyDescent="0.2">
      <c r="A97"/>
      <c r="B97"/>
      <c r="C97"/>
      <c r="D97"/>
      <c r="E97"/>
      <c r="F97"/>
      <c r="G97"/>
      <c r="H97"/>
      <c r="L97" s="921"/>
      <c r="M97" s="896" t="s">
        <v>433</v>
      </c>
      <c r="N97" s="896" t="s">
        <v>434</v>
      </c>
      <c r="O97" s="899" t="s">
        <v>435</v>
      </c>
      <c r="P97" s="896" t="s">
        <v>436</v>
      </c>
      <c r="Q97" s="900" t="s">
        <v>437</v>
      </c>
      <c r="R97" s="901" t="s">
        <v>433</v>
      </c>
      <c r="S97" s="902" t="s">
        <v>614</v>
      </c>
      <c r="T97" s="902" t="s">
        <v>615</v>
      </c>
      <c r="U97" s="902" t="s">
        <v>616</v>
      </c>
      <c r="V97" s="902" t="s">
        <v>605</v>
      </c>
    </row>
    <row r="98" spans="1:26" ht="12.75" customHeight="1" x14ac:dyDescent="0.2">
      <c r="A98"/>
      <c r="B98"/>
      <c r="C98"/>
      <c r="D98"/>
      <c r="E98"/>
      <c r="F98"/>
      <c r="G98"/>
      <c r="H98"/>
      <c r="K98" s="836" t="s">
        <v>669</v>
      </c>
      <c r="L98" s="866" t="s">
        <v>670</v>
      </c>
      <c r="M98" s="903">
        <f>B$10</f>
        <v>8248.8016399979952</v>
      </c>
      <c r="N98" s="907">
        <f>D$10</f>
        <v>114.49647748129324</v>
      </c>
      <c r="O98" s="907">
        <f>E$10</f>
        <v>104.68727940138361</v>
      </c>
      <c r="P98" s="907">
        <f>F$10</f>
        <v>109.36999999999999</v>
      </c>
      <c r="Q98" s="903">
        <f>G$10</f>
        <v>9021.7143536658077</v>
      </c>
      <c r="R98" s="908">
        <f>H$10</f>
        <v>9444.5873122168523</v>
      </c>
      <c r="S98" s="866" t="s">
        <v>684</v>
      </c>
      <c r="T98" s="907">
        <f>U98*O98/100</f>
        <v>101.70369193844417</v>
      </c>
      <c r="U98" s="909">
        <f>O$12</f>
        <v>97.15</v>
      </c>
      <c r="V98" s="910">
        <f>N98-T98</f>
        <v>12.792785542849074</v>
      </c>
    </row>
    <row r="99" spans="1:26" ht="12.75" customHeight="1" x14ac:dyDescent="0.2">
      <c r="A99"/>
      <c r="B99"/>
      <c r="C99"/>
      <c r="D99"/>
      <c r="E99"/>
      <c r="F99"/>
      <c r="G99"/>
      <c r="H99"/>
      <c r="K99" s="836" t="s">
        <v>673</v>
      </c>
      <c r="L99" s="866" t="s">
        <v>633</v>
      </c>
      <c r="M99" s="903">
        <f>B$12</f>
        <v>2408.7129440366698</v>
      </c>
      <c r="N99" s="907">
        <f>D$12</f>
        <v>109.20976987152338</v>
      </c>
      <c r="O99" s="907">
        <f>E$12</f>
        <v>104.68727940138361</v>
      </c>
      <c r="P99" s="907">
        <f>F$12</f>
        <v>104.32000000000001</v>
      </c>
      <c r="Q99" s="903">
        <f>G$12</f>
        <v>2512.769343219054</v>
      </c>
      <c r="R99" s="908">
        <f>H$12</f>
        <v>2630.5498630480429</v>
      </c>
      <c r="S99" s="866" t="s">
        <v>684</v>
      </c>
      <c r="T99" s="907">
        <f>U99*O99/100</f>
        <v>106.19477622476352</v>
      </c>
      <c r="U99" s="909">
        <f>P$12</f>
        <v>101.44</v>
      </c>
      <c r="V99" s="910">
        <f>N99-T99</f>
        <v>3.0149936467598621</v>
      </c>
      <c r="X99"/>
      <c r="Y99"/>
      <c r="Z99"/>
    </row>
    <row r="100" spans="1:26" ht="12.75" customHeight="1" x14ac:dyDescent="0.2">
      <c r="A100"/>
      <c r="B100"/>
      <c r="C100"/>
      <c r="D100"/>
      <c r="E100"/>
      <c r="F100"/>
      <c r="G100"/>
      <c r="H100"/>
      <c r="K100" s="836" t="s">
        <v>1034</v>
      </c>
      <c r="L100" s="866" t="s">
        <v>1035</v>
      </c>
      <c r="M100" s="903">
        <f>B$20</f>
        <v>3713.3602078947333</v>
      </c>
      <c r="N100" s="907">
        <f>D$20</f>
        <v>112.8</v>
      </c>
      <c r="O100" s="907">
        <f>E$20</f>
        <v>104.38908659549229</v>
      </c>
      <c r="P100" s="907">
        <f>F$20</f>
        <v>108.05727272727272</v>
      </c>
      <c r="Q100" s="903">
        <f>G$20</f>
        <v>4012.5557671908332</v>
      </c>
      <c r="R100" s="908">
        <f>H$20</f>
        <v>4188.6703145052588</v>
      </c>
      <c r="S100" s="866" t="s">
        <v>510</v>
      </c>
      <c r="T100" s="472">
        <f>AB$31</f>
        <v>0</v>
      </c>
      <c r="U100" s="866"/>
      <c r="V100" s="910">
        <f>N100-T100</f>
        <v>112.8</v>
      </c>
      <c r="W100" s="713" t="s">
        <v>1062</v>
      </c>
      <c r="X100"/>
      <c r="Y100"/>
      <c r="Z100"/>
    </row>
    <row r="101" spans="1:26" ht="12.75" customHeight="1" x14ac:dyDescent="0.2">
      <c r="A101"/>
      <c r="B101"/>
      <c r="C101"/>
      <c r="D101"/>
      <c r="E101"/>
      <c r="F101"/>
      <c r="G101"/>
      <c r="H101"/>
      <c r="K101" s="836" t="s">
        <v>1036</v>
      </c>
      <c r="L101" s="913" t="s">
        <v>1037</v>
      </c>
      <c r="M101" s="914">
        <f>B$22</f>
        <v>760.33422760973326</v>
      </c>
      <c r="N101" s="916">
        <f>D$22</f>
        <v>110.1</v>
      </c>
      <c r="O101" s="916">
        <f>E$22</f>
        <v>104.38908659549229</v>
      </c>
      <c r="P101" s="916">
        <f>F$22</f>
        <v>105.47079545454548</v>
      </c>
      <c r="Q101" s="914">
        <f>G$22</f>
        <v>801.93055797315992</v>
      </c>
      <c r="R101" s="917">
        <f>H$22</f>
        <v>837.12798459831629</v>
      </c>
      <c r="S101" s="866" t="s">
        <v>510</v>
      </c>
      <c r="T101" s="472">
        <f>AB$31</f>
        <v>0</v>
      </c>
      <c r="U101" s="866"/>
      <c r="V101" s="910">
        <f>N101-T101</f>
        <v>110.1</v>
      </c>
      <c r="X101"/>
      <c r="Y101"/>
      <c r="Z101"/>
    </row>
    <row r="102" spans="1:26" ht="12.75" customHeight="1" x14ac:dyDescent="0.2">
      <c r="A102"/>
      <c r="B102"/>
      <c r="C102"/>
      <c r="D102"/>
      <c r="E102"/>
      <c r="F102"/>
      <c r="G102"/>
      <c r="H102"/>
      <c r="K102" s="836"/>
      <c r="L102" s="866" t="s">
        <v>1063</v>
      </c>
      <c r="M102" s="903">
        <f>SUM(M98:M99)</f>
        <v>10657.514584034665</v>
      </c>
      <c r="N102" s="919">
        <f>R102/M102*100</f>
        <v>113.30162468981165</v>
      </c>
      <c r="O102" s="907">
        <f>R102/Q102*100</f>
        <v>104.68727940138361</v>
      </c>
      <c r="P102" s="866">
        <f>Q102/M102*100</f>
        <v>108.22864567470477</v>
      </c>
      <c r="Q102" s="903">
        <f>SUM(Q98:Q99)</f>
        <v>11534.483696884861</v>
      </c>
      <c r="R102" s="903">
        <f>SUM(R98:R99)</f>
        <v>12075.137175264896</v>
      </c>
      <c r="T102" s="512"/>
      <c r="V102" s="922"/>
      <c r="X102"/>
      <c r="Y102"/>
      <c r="Z102"/>
    </row>
    <row r="103" spans="1:26" ht="12.75" customHeight="1" x14ac:dyDescent="0.2">
      <c r="A103"/>
      <c r="B103"/>
      <c r="C103"/>
      <c r="D103"/>
      <c r="E103"/>
      <c r="F103"/>
      <c r="G103"/>
      <c r="H103"/>
      <c r="K103" s="836"/>
      <c r="L103" s="866" t="s">
        <v>1064</v>
      </c>
      <c r="M103" s="903">
        <f>SUM(M100:M101)</f>
        <v>4473.694435504467</v>
      </c>
      <c r="N103" s="919">
        <f>R103/M103*100</f>
        <v>112.3411169796815</v>
      </c>
      <c r="O103" s="907">
        <f>R103/Q103*100</f>
        <v>104.38908659549229</v>
      </c>
      <c r="P103" s="866">
        <f>Q103/M103*100</f>
        <v>107.6176836521267</v>
      </c>
      <c r="Q103" s="903">
        <f>SUM(Q100:Q101)</f>
        <v>4814.4863251639927</v>
      </c>
      <c r="R103" s="903">
        <f>SUM(R100:R101)</f>
        <v>5025.7982991035751</v>
      </c>
      <c r="T103" s="512"/>
      <c r="V103" s="922"/>
      <c r="X103"/>
      <c r="Y103"/>
      <c r="Z103"/>
    </row>
    <row r="104" spans="1:26" ht="12.75" customHeight="1" x14ac:dyDescent="0.2">
      <c r="A104"/>
      <c r="B104"/>
      <c r="C104"/>
      <c r="D104"/>
      <c r="E104"/>
      <c r="F104"/>
      <c r="G104"/>
      <c r="H104"/>
      <c r="K104" s="836"/>
      <c r="L104" s="923"/>
      <c r="M104" s="924">
        <f>SUM(M102:M103)</f>
        <v>15131.209019539132</v>
      </c>
      <c r="N104" s="919">
        <f>R104/M104*100</f>
        <v>113.01764090553374</v>
      </c>
      <c r="O104" s="907">
        <f>R104/Q104*100</f>
        <v>104.5994668245491</v>
      </c>
      <c r="P104" s="866">
        <f>Q104/M104*100</f>
        <v>108.04800859559344</v>
      </c>
      <c r="Q104" s="924">
        <f>SUM(Q102:Q103)</f>
        <v>16348.970022048854</v>
      </c>
      <c r="R104" s="924">
        <f>SUM(R102:R103)</f>
        <v>17100.935474368471</v>
      </c>
      <c r="T104" s="512"/>
      <c r="V104" s="922"/>
      <c r="X104"/>
      <c r="Y104"/>
      <c r="Z104"/>
    </row>
    <row r="105" spans="1:26" ht="12.75" customHeight="1" x14ac:dyDescent="0.2">
      <c r="A105"/>
      <c r="B105"/>
      <c r="C105"/>
      <c r="D105"/>
      <c r="E105"/>
      <c r="F105"/>
      <c r="G105"/>
      <c r="H105"/>
      <c r="L105" s="925" t="s">
        <v>682</v>
      </c>
      <c r="M105" s="926">
        <f>B$73</f>
        <v>1731.7</v>
      </c>
      <c r="N105" s="927">
        <f>D$73</f>
        <v>15.418375007218341</v>
      </c>
      <c r="O105" s="927">
        <f>E$73</f>
        <v>104.68727940138361</v>
      </c>
      <c r="P105" s="927">
        <f>F$73</f>
        <v>14.728031041959206</v>
      </c>
      <c r="Q105" s="926">
        <f>G$73</f>
        <v>255.04531355360754</v>
      </c>
      <c r="R105" s="926">
        <f>H$73</f>
        <v>267</v>
      </c>
      <c r="X105"/>
      <c r="Y105"/>
      <c r="Z105"/>
    </row>
    <row r="106" spans="1:26" ht="12.75" customHeight="1" x14ac:dyDescent="0.2">
      <c r="A106" s="928"/>
      <c r="B106" s="929"/>
      <c r="C106" s="929"/>
      <c r="D106" s="930"/>
      <c r="E106" s="930"/>
      <c r="F106" s="931"/>
      <c r="G106" s="929"/>
      <c r="H106" s="929"/>
      <c r="L106" s="932" t="s">
        <v>667</v>
      </c>
      <c r="M106" s="903">
        <f>B$70</f>
        <v>13399.509019539131</v>
      </c>
      <c r="N106" s="933">
        <f>D$70</f>
        <v>125.63098729827537</v>
      </c>
      <c r="O106" s="907">
        <f>E$70</f>
        <v>104.59807523197003</v>
      </c>
      <c r="P106" s="907">
        <f>F$70</f>
        <v>120.10831654374145</v>
      </c>
      <c r="Q106" s="934">
        <f>G$70</f>
        <v>16093.924708495246</v>
      </c>
      <c r="R106" s="935">
        <f>H$70</f>
        <v>16833.935474368471</v>
      </c>
      <c r="X106"/>
      <c r="Y106"/>
      <c r="Z106"/>
    </row>
    <row r="107" spans="1:26" ht="12.75" customHeight="1" x14ac:dyDescent="0.2">
      <c r="A107" s="928"/>
      <c r="B107" s="936"/>
      <c r="C107" s="936"/>
      <c r="D107" s="937"/>
      <c r="E107" s="937"/>
      <c r="F107" s="938"/>
      <c r="G107" s="936"/>
      <c r="H107" s="936"/>
      <c r="X107"/>
      <c r="Y107"/>
      <c r="Z107"/>
    </row>
    <row r="108" spans="1:26" ht="12.75" customHeight="1" x14ac:dyDescent="0.2">
      <c r="A108" s="928"/>
      <c r="B108" s="939"/>
      <c r="C108" s="939"/>
      <c r="D108" s="798"/>
      <c r="E108" s="798"/>
      <c r="F108" s="798"/>
      <c r="G108" s="798"/>
      <c r="H108" s="939"/>
      <c r="X108"/>
      <c r="Y108"/>
      <c r="Z108"/>
    </row>
    <row r="109" spans="1:26" x14ac:dyDescent="0.2">
      <c r="A109" s="809"/>
      <c r="B109" s="809"/>
      <c r="C109" s="809"/>
      <c r="D109" s="809"/>
      <c r="E109" s="809"/>
      <c r="F109" s="809"/>
      <c r="G109" s="809"/>
      <c r="H109" s="809"/>
    </row>
  </sheetData>
  <mergeCells count="2">
    <mergeCell ref="M36:N36"/>
    <mergeCell ref="P36:Q36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17A8-0469-4C20-8335-2EF09123FA82}">
  <dimension ref="A1:S95"/>
  <sheetViews>
    <sheetView topLeftCell="C52" workbookViewId="0">
      <selection activeCell="P69" sqref="P69"/>
    </sheetView>
  </sheetViews>
  <sheetFormatPr baseColWidth="10" defaultRowHeight="12.75" x14ac:dyDescent="0.2"/>
  <cols>
    <col min="14" max="14" width="11.42578125" style="711"/>
  </cols>
  <sheetData>
    <row r="1" spans="1:18" x14ac:dyDescent="0.2">
      <c r="A1" t="s">
        <v>711</v>
      </c>
      <c r="B1" t="s">
        <v>712</v>
      </c>
      <c r="C1" t="s">
        <v>713</v>
      </c>
      <c r="D1" s="710">
        <v>45394</v>
      </c>
    </row>
    <row r="2" spans="1:18" x14ac:dyDescent="0.2">
      <c r="A2" t="s">
        <v>714</v>
      </c>
      <c r="B2" t="s">
        <v>715</v>
      </c>
    </row>
    <row r="3" spans="1:18" x14ac:dyDescent="0.2">
      <c r="A3" t="s">
        <v>716</v>
      </c>
      <c r="B3" t="s">
        <v>717</v>
      </c>
    </row>
    <row r="4" spans="1:18" x14ac:dyDescent="0.2">
      <c r="A4" t="s">
        <v>718</v>
      </c>
      <c r="B4" t="s">
        <v>719</v>
      </c>
    </row>
    <row r="5" spans="1:18" x14ac:dyDescent="0.2">
      <c r="A5" t="s">
        <v>720</v>
      </c>
      <c r="B5" t="s">
        <v>721</v>
      </c>
    </row>
    <row r="7" spans="1:18" x14ac:dyDescent="0.2">
      <c r="K7" t="s">
        <v>722</v>
      </c>
      <c r="L7" t="s">
        <v>722</v>
      </c>
      <c r="M7" t="s">
        <v>723</v>
      </c>
      <c r="N7" s="711" t="s">
        <v>723</v>
      </c>
      <c r="O7" t="s">
        <v>724</v>
      </c>
      <c r="P7" t="s">
        <v>724</v>
      </c>
      <c r="Q7" t="s">
        <v>725</v>
      </c>
      <c r="R7" t="s">
        <v>725</v>
      </c>
    </row>
    <row r="8" spans="1:18" x14ac:dyDescent="0.2">
      <c r="A8" t="s">
        <v>726</v>
      </c>
      <c r="B8" t="s">
        <v>727</v>
      </c>
      <c r="C8" t="s">
        <v>728</v>
      </c>
      <c r="D8" t="s">
        <v>729</v>
      </c>
      <c r="E8" t="s">
        <v>475</v>
      </c>
      <c r="F8" t="s">
        <v>730</v>
      </c>
      <c r="G8" t="s">
        <v>378</v>
      </c>
      <c r="H8" t="s">
        <v>731</v>
      </c>
      <c r="I8" t="s">
        <v>21</v>
      </c>
      <c r="J8" t="s">
        <v>732</v>
      </c>
      <c r="K8" t="s">
        <v>733</v>
      </c>
      <c r="L8" t="s">
        <v>734</v>
      </c>
      <c r="M8" t="s">
        <v>733</v>
      </c>
      <c r="N8" s="711" t="s">
        <v>734</v>
      </c>
      <c r="O8" t="s">
        <v>733</v>
      </c>
      <c r="P8" t="s">
        <v>734</v>
      </c>
      <c r="Q8" t="s">
        <v>733</v>
      </c>
      <c r="R8" t="s">
        <v>734</v>
      </c>
    </row>
    <row r="9" spans="1:18" x14ac:dyDescent="0.2">
      <c r="A9" t="s">
        <v>735</v>
      </c>
      <c r="B9" t="s">
        <v>736</v>
      </c>
      <c r="C9" t="s">
        <v>737</v>
      </c>
      <c r="D9" t="s">
        <v>738</v>
      </c>
      <c r="E9" t="s">
        <v>739</v>
      </c>
      <c r="F9" t="s">
        <v>740</v>
      </c>
      <c r="G9" t="s">
        <v>741</v>
      </c>
      <c r="H9" t="s">
        <v>742</v>
      </c>
      <c r="I9" t="s">
        <v>743</v>
      </c>
      <c r="J9" t="s">
        <v>744</v>
      </c>
      <c r="K9">
        <v>31863.599999999999</v>
      </c>
      <c r="L9">
        <v>33358</v>
      </c>
      <c r="M9">
        <v>35584.300000000003</v>
      </c>
      <c r="N9" s="711">
        <v>37150</v>
      </c>
      <c r="O9">
        <v>40901.699999999997</v>
      </c>
      <c r="P9">
        <v>43818</v>
      </c>
      <c r="Q9">
        <v>191279.6</v>
      </c>
      <c r="R9">
        <v>198070</v>
      </c>
    </row>
    <row r="10" spans="1:18" x14ac:dyDescent="0.2">
      <c r="A10" t="s">
        <v>745</v>
      </c>
      <c r="B10" t="s">
        <v>746</v>
      </c>
      <c r="C10" t="s">
        <v>737</v>
      </c>
      <c r="D10" t="s">
        <v>738</v>
      </c>
      <c r="E10" t="s">
        <v>747</v>
      </c>
      <c r="F10" t="s">
        <v>748</v>
      </c>
      <c r="G10" t="s">
        <v>741</v>
      </c>
      <c r="H10" t="s">
        <v>742</v>
      </c>
      <c r="I10" t="s">
        <v>743</v>
      </c>
      <c r="J10" t="s">
        <v>744</v>
      </c>
      <c r="K10">
        <v>11.5</v>
      </c>
      <c r="L10">
        <v>12</v>
      </c>
      <c r="M10">
        <v>375.5</v>
      </c>
      <c r="N10" s="711">
        <v>392</v>
      </c>
      <c r="O10">
        <v>44.8</v>
      </c>
      <c r="P10">
        <v>48</v>
      </c>
      <c r="Q10">
        <v>20198</v>
      </c>
      <c r="R10">
        <v>20915</v>
      </c>
    </row>
    <row r="11" spans="1:18" x14ac:dyDescent="0.2">
      <c r="A11" t="s">
        <v>749</v>
      </c>
      <c r="B11" t="s">
        <v>750</v>
      </c>
      <c r="C11" t="s">
        <v>737</v>
      </c>
      <c r="D11" t="s">
        <v>738</v>
      </c>
      <c r="E11" t="s">
        <v>751</v>
      </c>
      <c r="F11" t="s">
        <v>752</v>
      </c>
      <c r="G11" t="s">
        <v>741</v>
      </c>
      <c r="H11" t="s">
        <v>742</v>
      </c>
      <c r="I11" t="s">
        <v>743</v>
      </c>
      <c r="J11" t="s">
        <v>744</v>
      </c>
      <c r="K11">
        <v>31875.1</v>
      </c>
      <c r="L11">
        <v>33370</v>
      </c>
      <c r="M11">
        <v>35959.800000000003</v>
      </c>
      <c r="N11" s="711">
        <v>37542</v>
      </c>
      <c r="O11">
        <v>40946.5</v>
      </c>
      <c r="P11">
        <v>43866</v>
      </c>
      <c r="Q11">
        <v>211477.6</v>
      </c>
      <c r="R11">
        <v>218985</v>
      </c>
    </row>
    <row r="12" spans="1:18" x14ac:dyDescent="0.2">
      <c r="A12" t="s">
        <v>753</v>
      </c>
      <c r="B12" t="s">
        <v>754</v>
      </c>
      <c r="C12" t="s">
        <v>737</v>
      </c>
      <c r="D12" t="s">
        <v>738</v>
      </c>
      <c r="E12" t="s">
        <v>739</v>
      </c>
      <c r="F12" t="s">
        <v>740</v>
      </c>
      <c r="G12" t="s">
        <v>755</v>
      </c>
      <c r="H12" t="s">
        <v>756</v>
      </c>
      <c r="I12" t="s">
        <v>743</v>
      </c>
      <c r="J12" t="s">
        <v>744</v>
      </c>
      <c r="K12">
        <v>106.3</v>
      </c>
      <c r="L12">
        <v>111.3</v>
      </c>
      <c r="M12">
        <v>104.2</v>
      </c>
      <c r="N12" s="711">
        <v>108.8</v>
      </c>
      <c r="O12">
        <v>101.5</v>
      </c>
      <c r="P12">
        <v>108.7</v>
      </c>
      <c r="Q12">
        <v>1293.7</v>
      </c>
      <c r="R12">
        <v>1339.6</v>
      </c>
    </row>
    <row r="13" spans="1:18" x14ac:dyDescent="0.2">
      <c r="A13" t="s">
        <v>757</v>
      </c>
      <c r="B13" t="s">
        <v>758</v>
      </c>
      <c r="C13" t="s">
        <v>737</v>
      </c>
      <c r="D13" t="s">
        <v>738</v>
      </c>
      <c r="E13" t="s">
        <v>747</v>
      </c>
      <c r="F13" t="s">
        <v>748</v>
      </c>
      <c r="G13" t="s">
        <v>755</v>
      </c>
      <c r="H13" t="s">
        <v>756</v>
      </c>
      <c r="I13" t="s">
        <v>743</v>
      </c>
      <c r="J13" t="s">
        <v>744</v>
      </c>
      <c r="K13">
        <v>0.1</v>
      </c>
      <c r="L13">
        <v>0.1</v>
      </c>
      <c r="M13">
        <v>36.200000000000003</v>
      </c>
      <c r="N13" s="711">
        <v>37.799999999999997</v>
      </c>
      <c r="O13">
        <v>2</v>
      </c>
      <c r="P13">
        <v>2</v>
      </c>
      <c r="Q13">
        <v>2717.2</v>
      </c>
      <c r="R13">
        <v>2813.7</v>
      </c>
    </row>
    <row r="14" spans="1:18" x14ac:dyDescent="0.2">
      <c r="A14" t="s">
        <v>759</v>
      </c>
      <c r="B14" t="s">
        <v>760</v>
      </c>
      <c r="C14" t="s">
        <v>737</v>
      </c>
      <c r="D14" t="s">
        <v>738</v>
      </c>
      <c r="E14" t="s">
        <v>751</v>
      </c>
      <c r="F14" t="s">
        <v>752</v>
      </c>
      <c r="G14" t="s">
        <v>755</v>
      </c>
      <c r="H14" t="s">
        <v>756</v>
      </c>
      <c r="I14" t="s">
        <v>743</v>
      </c>
      <c r="J14" t="s">
        <v>744</v>
      </c>
      <c r="K14">
        <v>106.4</v>
      </c>
      <c r="L14">
        <v>111.4</v>
      </c>
      <c r="M14">
        <v>140.4</v>
      </c>
      <c r="N14" s="711">
        <v>146.6</v>
      </c>
      <c r="O14">
        <v>103.5</v>
      </c>
      <c r="P14">
        <v>110.7</v>
      </c>
      <c r="Q14">
        <v>4010.9</v>
      </c>
      <c r="R14">
        <v>4153.3</v>
      </c>
    </row>
    <row r="15" spans="1:18" x14ac:dyDescent="0.2">
      <c r="A15" t="s">
        <v>761</v>
      </c>
      <c r="B15" t="s">
        <v>762</v>
      </c>
      <c r="C15" t="s">
        <v>737</v>
      </c>
      <c r="D15" t="s">
        <v>738</v>
      </c>
      <c r="E15" t="s">
        <v>739</v>
      </c>
      <c r="F15" t="s">
        <v>740</v>
      </c>
      <c r="G15" t="s">
        <v>763</v>
      </c>
      <c r="H15" t="s">
        <v>764</v>
      </c>
      <c r="I15" t="s">
        <v>743</v>
      </c>
      <c r="J15" t="s">
        <v>744</v>
      </c>
      <c r="K15">
        <v>0</v>
      </c>
      <c r="L15">
        <v>0</v>
      </c>
      <c r="M15">
        <v>0</v>
      </c>
      <c r="N15" s="711">
        <v>0</v>
      </c>
      <c r="O15">
        <v>0</v>
      </c>
      <c r="P15">
        <v>0</v>
      </c>
      <c r="Q15">
        <v>0</v>
      </c>
      <c r="R15">
        <v>0</v>
      </c>
    </row>
    <row r="16" spans="1:18" x14ac:dyDescent="0.2">
      <c r="A16" t="s">
        <v>765</v>
      </c>
      <c r="B16" t="s">
        <v>766</v>
      </c>
      <c r="C16" t="s">
        <v>737</v>
      </c>
      <c r="D16" t="s">
        <v>738</v>
      </c>
      <c r="E16" t="s">
        <v>747</v>
      </c>
      <c r="F16" t="s">
        <v>748</v>
      </c>
      <c r="G16" t="s">
        <v>763</v>
      </c>
      <c r="H16" t="s">
        <v>764</v>
      </c>
      <c r="I16" t="s">
        <v>743</v>
      </c>
      <c r="J16" t="s">
        <v>744</v>
      </c>
      <c r="K16">
        <v>44.1</v>
      </c>
      <c r="L16">
        <v>46.2</v>
      </c>
      <c r="M16">
        <v>102.4</v>
      </c>
      <c r="N16" s="711">
        <v>106.9</v>
      </c>
      <c r="O16">
        <v>84.8</v>
      </c>
      <c r="P16">
        <v>90.8</v>
      </c>
      <c r="Q16">
        <v>13300.1</v>
      </c>
      <c r="R16">
        <v>13772.3</v>
      </c>
    </row>
    <row r="17" spans="1:18" x14ac:dyDescent="0.2">
      <c r="A17" t="s">
        <v>767</v>
      </c>
      <c r="B17" t="s">
        <v>768</v>
      </c>
      <c r="C17" t="s">
        <v>737</v>
      </c>
      <c r="D17" t="s">
        <v>738</v>
      </c>
      <c r="E17" t="s">
        <v>751</v>
      </c>
      <c r="F17" t="s">
        <v>752</v>
      </c>
      <c r="G17" t="s">
        <v>763</v>
      </c>
      <c r="H17" t="s">
        <v>764</v>
      </c>
      <c r="I17" t="s">
        <v>743</v>
      </c>
      <c r="J17" t="s">
        <v>744</v>
      </c>
      <c r="K17">
        <v>44.1</v>
      </c>
      <c r="L17">
        <v>46.2</v>
      </c>
      <c r="M17">
        <v>102.4</v>
      </c>
      <c r="N17" s="711">
        <v>106.9</v>
      </c>
      <c r="O17">
        <v>84.8</v>
      </c>
      <c r="P17">
        <v>90.8</v>
      </c>
      <c r="Q17">
        <v>13300.1</v>
      </c>
      <c r="R17">
        <v>13772.3</v>
      </c>
    </row>
    <row r="18" spans="1:18" x14ac:dyDescent="0.2">
      <c r="A18" t="s">
        <v>769</v>
      </c>
      <c r="B18" t="s">
        <v>770</v>
      </c>
      <c r="C18" t="s">
        <v>737</v>
      </c>
      <c r="D18" t="s">
        <v>738</v>
      </c>
      <c r="E18" t="s">
        <v>739</v>
      </c>
      <c r="F18" t="s">
        <v>740</v>
      </c>
      <c r="G18" t="s">
        <v>771</v>
      </c>
      <c r="H18" t="s">
        <v>772</v>
      </c>
      <c r="I18" t="s">
        <v>743</v>
      </c>
      <c r="J18" t="s">
        <v>744</v>
      </c>
      <c r="K18">
        <v>-4</v>
      </c>
      <c r="L18">
        <v>-4.4000000000000004</v>
      </c>
      <c r="M18">
        <v>-3.9</v>
      </c>
      <c r="N18" s="711">
        <v>-4.2</v>
      </c>
      <c r="Q18">
        <v>-25</v>
      </c>
      <c r="R18">
        <v>-26.9</v>
      </c>
    </row>
    <row r="19" spans="1:18" x14ac:dyDescent="0.2">
      <c r="A19" t="s">
        <v>773</v>
      </c>
      <c r="B19" t="s">
        <v>774</v>
      </c>
      <c r="C19" t="s">
        <v>737</v>
      </c>
      <c r="D19" t="s">
        <v>738</v>
      </c>
      <c r="E19" t="s">
        <v>747</v>
      </c>
      <c r="F19" t="s">
        <v>748</v>
      </c>
      <c r="G19" t="s">
        <v>771</v>
      </c>
      <c r="H19" t="s">
        <v>772</v>
      </c>
      <c r="I19" t="s">
        <v>743</v>
      </c>
      <c r="J19" t="s">
        <v>744</v>
      </c>
      <c r="M19">
        <v>-1.3</v>
      </c>
      <c r="N19" s="711">
        <v>-1.4</v>
      </c>
      <c r="Q19">
        <v>-52.5</v>
      </c>
      <c r="R19">
        <v>-56.6</v>
      </c>
    </row>
    <row r="20" spans="1:18" x14ac:dyDescent="0.2">
      <c r="A20" t="s">
        <v>775</v>
      </c>
      <c r="B20" t="s">
        <v>776</v>
      </c>
      <c r="C20" t="s">
        <v>737</v>
      </c>
      <c r="D20" t="s">
        <v>738</v>
      </c>
      <c r="E20" t="s">
        <v>751</v>
      </c>
      <c r="F20" t="s">
        <v>752</v>
      </c>
      <c r="G20" t="s">
        <v>771</v>
      </c>
      <c r="H20" t="s">
        <v>772</v>
      </c>
      <c r="I20" t="s">
        <v>743</v>
      </c>
      <c r="J20" t="s">
        <v>744</v>
      </c>
      <c r="K20">
        <v>-4</v>
      </c>
      <c r="L20">
        <v>-4.4000000000000004</v>
      </c>
      <c r="M20">
        <v>-5.2</v>
      </c>
      <c r="N20" s="711">
        <v>-5.6</v>
      </c>
      <c r="Q20">
        <v>-77.5</v>
      </c>
      <c r="R20">
        <v>-83.5</v>
      </c>
    </row>
    <row r="21" spans="1:18" x14ac:dyDescent="0.2">
      <c r="A21" t="s">
        <v>777</v>
      </c>
      <c r="B21" t="s">
        <v>778</v>
      </c>
      <c r="C21" t="s">
        <v>737</v>
      </c>
      <c r="D21" t="s">
        <v>738</v>
      </c>
      <c r="E21" t="s">
        <v>739</v>
      </c>
      <c r="F21" t="s">
        <v>740</v>
      </c>
      <c r="G21" t="s">
        <v>779</v>
      </c>
      <c r="H21" t="s">
        <v>780</v>
      </c>
      <c r="I21" t="s">
        <v>743</v>
      </c>
      <c r="J21" t="s">
        <v>744</v>
      </c>
      <c r="K21">
        <v>31965.9</v>
      </c>
      <c r="L21">
        <v>33464.9</v>
      </c>
      <c r="M21">
        <v>35684.6</v>
      </c>
      <c r="N21" s="711">
        <v>37254.6</v>
      </c>
      <c r="O21">
        <v>41003.199999999997</v>
      </c>
      <c r="P21">
        <v>43926.7</v>
      </c>
      <c r="Q21">
        <v>192548.3</v>
      </c>
      <c r="R21">
        <v>199382.7</v>
      </c>
    </row>
    <row r="22" spans="1:18" x14ac:dyDescent="0.2">
      <c r="A22" t="s">
        <v>781</v>
      </c>
      <c r="B22" t="s">
        <v>782</v>
      </c>
      <c r="C22" t="s">
        <v>737</v>
      </c>
      <c r="D22" t="s">
        <v>738</v>
      </c>
      <c r="E22" t="s">
        <v>747</v>
      </c>
      <c r="F22" t="s">
        <v>748</v>
      </c>
      <c r="G22" t="s">
        <v>779</v>
      </c>
      <c r="H22" t="s">
        <v>780</v>
      </c>
      <c r="I22" t="s">
        <v>743</v>
      </c>
      <c r="J22" t="s">
        <v>744</v>
      </c>
      <c r="K22">
        <v>55.7</v>
      </c>
      <c r="L22">
        <v>58.3</v>
      </c>
      <c r="M22">
        <v>512.79999999999995</v>
      </c>
      <c r="N22" s="711">
        <v>535.29999999999995</v>
      </c>
      <c r="O22">
        <v>131.6</v>
      </c>
      <c r="P22">
        <v>140.80000000000001</v>
      </c>
      <c r="Q22">
        <v>36162.800000000003</v>
      </c>
      <c r="R22">
        <v>37444.400000000001</v>
      </c>
    </row>
    <row r="23" spans="1:18" x14ac:dyDescent="0.2">
      <c r="A23" t="s">
        <v>783</v>
      </c>
      <c r="B23" t="s">
        <v>784</v>
      </c>
      <c r="C23" t="s">
        <v>737</v>
      </c>
      <c r="D23" t="s">
        <v>738</v>
      </c>
      <c r="E23" t="s">
        <v>751</v>
      </c>
      <c r="F23" t="s">
        <v>752</v>
      </c>
      <c r="G23" t="s">
        <v>779</v>
      </c>
      <c r="H23" t="s">
        <v>780</v>
      </c>
      <c r="I23" t="s">
        <v>743</v>
      </c>
      <c r="J23" t="s">
        <v>744</v>
      </c>
      <c r="K23">
        <v>32021.599999999999</v>
      </c>
      <c r="L23">
        <v>33523.199999999997</v>
      </c>
      <c r="M23">
        <v>36197.4</v>
      </c>
      <c r="N23" s="711">
        <v>37789.9</v>
      </c>
      <c r="O23">
        <v>41134.800000000003</v>
      </c>
      <c r="P23">
        <v>44067.5</v>
      </c>
      <c r="Q23">
        <v>228711.1</v>
      </c>
      <c r="R23">
        <v>236827.1</v>
      </c>
    </row>
    <row r="24" spans="1:18" x14ac:dyDescent="0.2">
      <c r="A24" t="s">
        <v>785</v>
      </c>
      <c r="B24" t="s">
        <v>786</v>
      </c>
      <c r="C24" t="s">
        <v>737</v>
      </c>
      <c r="D24" t="s">
        <v>738</v>
      </c>
      <c r="E24" t="s">
        <v>739</v>
      </c>
      <c r="F24" t="s">
        <v>740</v>
      </c>
      <c r="G24" t="s">
        <v>787</v>
      </c>
      <c r="H24" t="s">
        <v>788</v>
      </c>
      <c r="I24" t="s">
        <v>743</v>
      </c>
      <c r="J24" t="s">
        <v>744</v>
      </c>
      <c r="K24">
        <v>31965.9</v>
      </c>
      <c r="L24">
        <v>33464.9</v>
      </c>
      <c r="M24">
        <v>35684.6</v>
      </c>
      <c r="N24" s="711">
        <v>37254.6</v>
      </c>
      <c r="O24">
        <v>41003.199999999997</v>
      </c>
      <c r="P24">
        <v>43926.7</v>
      </c>
      <c r="Q24">
        <v>192548.3</v>
      </c>
      <c r="R24">
        <v>199382.7</v>
      </c>
    </row>
    <row r="25" spans="1:18" x14ac:dyDescent="0.2">
      <c r="A25" t="s">
        <v>789</v>
      </c>
      <c r="B25" t="s">
        <v>790</v>
      </c>
      <c r="C25" t="s">
        <v>737</v>
      </c>
      <c r="D25" t="s">
        <v>738</v>
      </c>
      <c r="E25" t="s">
        <v>747</v>
      </c>
      <c r="F25" t="s">
        <v>748</v>
      </c>
      <c r="G25" t="s">
        <v>787</v>
      </c>
      <c r="H25" t="s">
        <v>788</v>
      </c>
      <c r="I25" t="s">
        <v>743</v>
      </c>
      <c r="J25" t="s">
        <v>744</v>
      </c>
      <c r="K25">
        <v>55.7</v>
      </c>
      <c r="L25">
        <v>58.3</v>
      </c>
      <c r="M25">
        <v>512.79999999999995</v>
      </c>
      <c r="N25" s="711">
        <v>535.29999999999995</v>
      </c>
      <c r="O25">
        <v>131.6</v>
      </c>
      <c r="P25">
        <v>140.80000000000001</v>
      </c>
      <c r="Q25">
        <v>36162.800000000003</v>
      </c>
      <c r="R25">
        <v>37444.400000000001</v>
      </c>
    </row>
    <row r="26" spans="1:18" x14ac:dyDescent="0.2">
      <c r="A26" t="s">
        <v>791</v>
      </c>
      <c r="B26" t="s">
        <v>792</v>
      </c>
      <c r="C26" t="s">
        <v>737</v>
      </c>
      <c r="D26" t="s">
        <v>738</v>
      </c>
      <c r="E26" t="s">
        <v>751</v>
      </c>
      <c r="F26" t="s">
        <v>752</v>
      </c>
      <c r="G26" t="s">
        <v>787</v>
      </c>
      <c r="H26" t="s">
        <v>788</v>
      </c>
      <c r="I26" t="s">
        <v>743</v>
      </c>
      <c r="J26" t="s">
        <v>744</v>
      </c>
      <c r="K26">
        <v>32021.599999999999</v>
      </c>
      <c r="L26">
        <v>33523.199999999997</v>
      </c>
      <c r="M26">
        <v>36197.4</v>
      </c>
      <c r="N26" s="711">
        <v>37789.9</v>
      </c>
      <c r="O26">
        <v>41134.800000000003</v>
      </c>
      <c r="P26">
        <v>44067.5</v>
      </c>
      <c r="Q26">
        <v>228711.1</v>
      </c>
      <c r="R26">
        <v>236827.1</v>
      </c>
    </row>
    <row r="27" spans="1:18" x14ac:dyDescent="0.2">
      <c r="A27" t="s">
        <v>793</v>
      </c>
      <c r="B27" t="s">
        <v>794</v>
      </c>
      <c r="C27" t="s">
        <v>737</v>
      </c>
      <c r="D27" t="s">
        <v>738</v>
      </c>
      <c r="E27" t="s">
        <v>739</v>
      </c>
      <c r="F27" t="s">
        <v>740</v>
      </c>
      <c r="G27" t="s">
        <v>795</v>
      </c>
      <c r="H27" t="s">
        <v>796</v>
      </c>
      <c r="I27" t="s">
        <v>743</v>
      </c>
      <c r="J27" t="s">
        <v>744</v>
      </c>
      <c r="K27">
        <v>-20780.400000000001</v>
      </c>
      <c r="L27">
        <v>-21755</v>
      </c>
      <c r="O27">
        <v>-1722.1</v>
      </c>
      <c r="P27">
        <v>-1844.9</v>
      </c>
    </row>
    <row r="28" spans="1:18" x14ac:dyDescent="0.2">
      <c r="A28" t="s">
        <v>797</v>
      </c>
      <c r="B28" t="s">
        <v>798</v>
      </c>
      <c r="C28" t="s">
        <v>737</v>
      </c>
      <c r="D28" t="s">
        <v>738</v>
      </c>
      <c r="E28" t="s">
        <v>747</v>
      </c>
      <c r="F28" t="s">
        <v>748</v>
      </c>
      <c r="G28" t="s">
        <v>795</v>
      </c>
      <c r="H28" t="s">
        <v>796</v>
      </c>
      <c r="I28" t="s">
        <v>743</v>
      </c>
      <c r="J28" t="s">
        <v>744</v>
      </c>
      <c r="K28">
        <v>-36.200000000000003</v>
      </c>
      <c r="L28">
        <v>-37.9</v>
      </c>
      <c r="O28">
        <v>-5.5</v>
      </c>
      <c r="P28">
        <v>-5.9</v>
      </c>
    </row>
    <row r="29" spans="1:18" x14ac:dyDescent="0.2">
      <c r="A29" t="s">
        <v>799</v>
      </c>
      <c r="B29" t="s">
        <v>800</v>
      </c>
      <c r="C29" t="s">
        <v>737</v>
      </c>
      <c r="D29" t="s">
        <v>738</v>
      </c>
      <c r="E29" t="s">
        <v>751</v>
      </c>
      <c r="F29" t="s">
        <v>752</v>
      </c>
      <c r="G29" t="s">
        <v>795</v>
      </c>
      <c r="H29" t="s">
        <v>796</v>
      </c>
      <c r="I29" t="s">
        <v>743</v>
      </c>
      <c r="J29" t="s">
        <v>744</v>
      </c>
      <c r="K29">
        <v>-20816.599999999999</v>
      </c>
      <c r="L29">
        <v>-21792.9</v>
      </c>
      <c r="O29">
        <v>-1727.6</v>
      </c>
      <c r="P29">
        <v>-1850.8</v>
      </c>
    </row>
    <row r="30" spans="1:18" x14ac:dyDescent="0.2">
      <c r="A30" t="s">
        <v>801</v>
      </c>
      <c r="B30" t="s">
        <v>802</v>
      </c>
      <c r="C30" t="s">
        <v>737</v>
      </c>
      <c r="D30" t="s">
        <v>738</v>
      </c>
      <c r="E30" t="s">
        <v>739</v>
      </c>
      <c r="F30" t="s">
        <v>740</v>
      </c>
      <c r="G30" t="s">
        <v>803</v>
      </c>
      <c r="H30" t="s">
        <v>804</v>
      </c>
      <c r="I30" t="s">
        <v>743</v>
      </c>
      <c r="J30" t="s">
        <v>744</v>
      </c>
      <c r="K30">
        <v>-20780.400000000001</v>
      </c>
      <c r="L30">
        <v>-21755</v>
      </c>
      <c r="O30">
        <v>-1722.1</v>
      </c>
      <c r="P30">
        <v>-1844.9</v>
      </c>
    </row>
    <row r="31" spans="1:18" x14ac:dyDescent="0.2">
      <c r="A31" t="s">
        <v>805</v>
      </c>
      <c r="B31" t="s">
        <v>806</v>
      </c>
      <c r="C31" t="s">
        <v>737</v>
      </c>
      <c r="D31" t="s">
        <v>738</v>
      </c>
      <c r="E31" t="s">
        <v>747</v>
      </c>
      <c r="F31" t="s">
        <v>748</v>
      </c>
      <c r="G31" t="s">
        <v>803</v>
      </c>
      <c r="H31" t="s">
        <v>804</v>
      </c>
      <c r="I31" t="s">
        <v>743</v>
      </c>
      <c r="J31" t="s">
        <v>744</v>
      </c>
      <c r="K31">
        <v>-36.200000000000003</v>
      </c>
      <c r="L31">
        <v>-37.9</v>
      </c>
      <c r="O31">
        <v>-5.5</v>
      </c>
      <c r="P31">
        <v>-5.9</v>
      </c>
    </row>
    <row r="32" spans="1:18" x14ac:dyDescent="0.2">
      <c r="A32" t="s">
        <v>807</v>
      </c>
      <c r="B32" t="s">
        <v>808</v>
      </c>
      <c r="C32" t="s">
        <v>737</v>
      </c>
      <c r="D32" t="s">
        <v>738</v>
      </c>
      <c r="E32" t="s">
        <v>751</v>
      </c>
      <c r="F32" t="s">
        <v>752</v>
      </c>
      <c r="G32" t="s">
        <v>803</v>
      </c>
      <c r="H32" t="s">
        <v>804</v>
      </c>
      <c r="I32" t="s">
        <v>743</v>
      </c>
      <c r="J32" t="s">
        <v>744</v>
      </c>
      <c r="K32">
        <v>-20816.599999999999</v>
      </c>
      <c r="L32">
        <v>-21792.9</v>
      </c>
      <c r="O32">
        <v>-1727.6</v>
      </c>
      <c r="P32">
        <v>-1850.8</v>
      </c>
    </row>
    <row r="33" spans="1:18" x14ac:dyDescent="0.2">
      <c r="A33" t="s">
        <v>809</v>
      </c>
      <c r="B33" t="s">
        <v>810</v>
      </c>
      <c r="C33" t="s">
        <v>737</v>
      </c>
      <c r="D33" t="s">
        <v>738</v>
      </c>
      <c r="E33" t="s">
        <v>739</v>
      </c>
      <c r="F33" t="s">
        <v>740</v>
      </c>
      <c r="G33" t="s">
        <v>811</v>
      </c>
      <c r="H33" t="s">
        <v>812</v>
      </c>
      <c r="I33" t="s">
        <v>743</v>
      </c>
      <c r="J33" t="s">
        <v>744</v>
      </c>
      <c r="K33">
        <v>11185.5</v>
      </c>
      <c r="L33">
        <v>11709.9</v>
      </c>
      <c r="M33">
        <v>35684.6</v>
      </c>
      <c r="N33" s="711">
        <v>37254.6</v>
      </c>
      <c r="O33">
        <v>39281.1</v>
      </c>
      <c r="P33">
        <v>42081.8</v>
      </c>
      <c r="Q33">
        <v>192548.3</v>
      </c>
      <c r="R33">
        <v>199382.7</v>
      </c>
    </row>
    <row r="34" spans="1:18" x14ac:dyDescent="0.2">
      <c r="A34" t="s">
        <v>813</v>
      </c>
      <c r="B34" t="s">
        <v>814</v>
      </c>
      <c r="C34" t="s">
        <v>737</v>
      </c>
      <c r="D34" t="s">
        <v>738</v>
      </c>
      <c r="E34" t="s">
        <v>747</v>
      </c>
      <c r="F34" t="s">
        <v>748</v>
      </c>
      <c r="G34" t="s">
        <v>811</v>
      </c>
      <c r="H34" t="s">
        <v>812</v>
      </c>
      <c r="I34" t="s">
        <v>743</v>
      </c>
      <c r="J34" t="s">
        <v>744</v>
      </c>
      <c r="K34">
        <v>19.5</v>
      </c>
      <c r="L34">
        <v>20.399999999999999</v>
      </c>
      <c r="M34">
        <v>512.79999999999995</v>
      </c>
      <c r="N34" s="711">
        <v>535.29999999999995</v>
      </c>
      <c r="O34">
        <v>126.1</v>
      </c>
      <c r="P34">
        <v>134.9</v>
      </c>
      <c r="Q34">
        <v>36162.800000000003</v>
      </c>
      <c r="R34">
        <v>37444.400000000001</v>
      </c>
    </row>
    <row r="35" spans="1:18" x14ac:dyDescent="0.2">
      <c r="A35" t="s">
        <v>815</v>
      </c>
      <c r="B35" t="s">
        <v>816</v>
      </c>
      <c r="C35" t="s">
        <v>737</v>
      </c>
      <c r="D35" t="s">
        <v>738</v>
      </c>
      <c r="E35" t="s">
        <v>751</v>
      </c>
      <c r="F35" t="s">
        <v>752</v>
      </c>
      <c r="G35" t="s">
        <v>811</v>
      </c>
      <c r="H35" t="s">
        <v>812</v>
      </c>
      <c r="I35" t="s">
        <v>743</v>
      </c>
      <c r="J35" t="s">
        <v>744</v>
      </c>
      <c r="K35">
        <v>11205</v>
      </c>
      <c r="L35">
        <v>11730.3</v>
      </c>
      <c r="M35">
        <v>36197.4</v>
      </c>
      <c r="N35" s="711">
        <v>37789.9</v>
      </c>
      <c r="O35">
        <v>39407.199999999997</v>
      </c>
      <c r="P35">
        <v>42216.7</v>
      </c>
      <c r="Q35">
        <v>228711.1</v>
      </c>
      <c r="R35">
        <v>236827.1</v>
      </c>
    </row>
    <row r="36" spans="1:18" x14ac:dyDescent="0.2">
      <c r="A36" t="s">
        <v>817</v>
      </c>
      <c r="B36" t="s">
        <v>818</v>
      </c>
      <c r="C36" t="s">
        <v>737</v>
      </c>
      <c r="D36" t="s">
        <v>738</v>
      </c>
      <c r="E36" t="s">
        <v>819</v>
      </c>
      <c r="F36" t="s">
        <v>820</v>
      </c>
      <c r="G36" t="s">
        <v>811</v>
      </c>
      <c r="H36" t="s">
        <v>812</v>
      </c>
      <c r="I36" t="s">
        <v>743</v>
      </c>
      <c r="J36" t="s">
        <v>744</v>
      </c>
      <c r="K36">
        <v>11205</v>
      </c>
      <c r="L36">
        <v>11730.3</v>
      </c>
      <c r="M36">
        <v>36197.4</v>
      </c>
      <c r="N36" s="711">
        <v>37789.9</v>
      </c>
      <c r="O36">
        <v>39407.199999999997</v>
      </c>
      <c r="P36">
        <v>42216.7</v>
      </c>
      <c r="Q36">
        <v>228711.1</v>
      </c>
      <c r="R36">
        <v>236827.1</v>
      </c>
    </row>
    <row r="37" spans="1:18" x14ac:dyDescent="0.2">
      <c r="A37" t="s">
        <v>821</v>
      </c>
      <c r="B37" t="s">
        <v>822</v>
      </c>
      <c r="C37" t="s">
        <v>737</v>
      </c>
      <c r="D37" t="s">
        <v>738</v>
      </c>
      <c r="E37" t="s">
        <v>739</v>
      </c>
      <c r="F37" t="s">
        <v>740</v>
      </c>
      <c r="G37" t="s">
        <v>823</v>
      </c>
      <c r="H37" t="s">
        <v>824</v>
      </c>
      <c r="I37" t="s">
        <v>743</v>
      </c>
      <c r="J37" t="s">
        <v>744</v>
      </c>
      <c r="K37">
        <v>11185.5</v>
      </c>
      <c r="L37">
        <v>11709.9</v>
      </c>
      <c r="M37">
        <v>35684.6</v>
      </c>
      <c r="N37" s="711">
        <v>37254.6</v>
      </c>
      <c r="O37">
        <v>39281.1</v>
      </c>
      <c r="P37">
        <v>42081.8</v>
      </c>
      <c r="Q37">
        <v>192548.3</v>
      </c>
      <c r="R37">
        <v>199382.7</v>
      </c>
    </row>
    <row r="38" spans="1:18" x14ac:dyDescent="0.2">
      <c r="A38" t="s">
        <v>825</v>
      </c>
      <c r="B38" t="s">
        <v>826</v>
      </c>
      <c r="C38" t="s">
        <v>737</v>
      </c>
      <c r="D38" t="s">
        <v>738</v>
      </c>
      <c r="E38" t="s">
        <v>747</v>
      </c>
      <c r="F38" t="s">
        <v>748</v>
      </c>
      <c r="G38" t="s">
        <v>823</v>
      </c>
      <c r="H38" t="s">
        <v>824</v>
      </c>
      <c r="I38" t="s">
        <v>743</v>
      </c>
      <c r="J38" t="s">
        <v>744</v>
      </c>
      <c r="K38">
        <v>19.5</v>
      </c>
      <c r="L38">
        <v>20.399999999999999</v>
      </c>
      <c r="M38">
        <v>512.79999999999995</v>
      </c>
      <c r="N38" s="711">
        <v>535.29999999999995</v>
      </c>
      <c r="O38">
        <v>126.1</v>
      </c>
      <c r="P38">
        <v>134.9</v>
      </c>
      <c r="Q38">
        <v>36162.800000000003</v>
      </c>
      <c r="R38">
        <v>37444.400000000001</v>
      </c>
    </row>
    <row r="39" spans="1:18" x14ac:dyDescent="0.2">
      <c r="A39" t="s">
        <v>827</v>
      </c>
      <c r="B39" t="s">
        <v>828</v>
      </c>
      <c r="C39" t="s">
        <v>737</v>
      </c>
      <c r="D39" t="s">
        <v>738</v>
      </c>
      <c r="E39" t="s">
        <v>751</v>
      </c>
      <c r="F39" t="s">
        <v>752</v>
      </c>
      <c r="G39" t="s">
        <v>823</v>
      </c>
      <c r="H39" t="s">
        <v>824</v>
      </c>
      <c r="I39" t="s">
        <v>743</v>
      </c>
      <c r="J39" t="s">
        <v>744</v>
      </c>
      <c r="K39">
        <v>11205</v>
      </c>
      <c r="L39">
        <v>11730.3</v>
      </c>
      <c r="M39">
        <v>36197.4</v>
      </c>
      <c r="N39" s="711">
        <v>37789.9</v>
      </c>
      <c r="O39">
        <v>39407.199999999997</v>
      </c>
      <c r="P39">
        <v>42216.7</v>
      </c>
      <c r="Q39">
        <v>228711.1</v>
      </c>
      <c r="R39">
        <v>236827.1</v>
      </c>
    </row>
    <row r="40" spans="1:18" x14ac:dyDescent="0.2">
      <c r="A40" t="s">
        <v>829</v>
      </c>
      <c r="B40" t="s">
        <v>830</v>
      </c>
      <c r="C40" t="s">
        <v>737</v>
      </c>
      <c r="D40" t="s">
        <v>738</v>
      </c>
      <c r="E40" t="s">
        <v>819</v>
      </c>
      <c r="F40" t="s">
        <v>820</v>
      </c>
      <c r="G40" t="s">
        <v>823</v>
      </c>
      <c r="H40" t="s">
        <v>824</v>
      </c>
      <c r="I40" t="s">
        <v>743</v>
      </c>
      <c r="J40" t="s">
        <v>744</v>
      </c>
      <c r="K40">
        <v>11205</v>
      </c>
      <c r="L40">
        <v>11730.3</v>
      </c>
      <c r="M40">
        <v>36197.4</v>
      </c>
      <c r="N40" s="711">
        <v>37789.9</v>
      </c>
      <c r="O40">
        <v>39407.199999999997</v>
      </c>
      <c r="P40">
        <v>42216.7</v>
      </c>
      <c r="Q40">
        <v>228711.1</v>
      </c>
      <c r="R40">
        <v>236827.1</v>
      </c>
    </row>
    <row r="41" spans="1:18" x14ac:dyDescent="0.2">
      <c r="A41" t="s">
        <v>831</v>
      </c>
      <c r="B41" t="s">
        <v>832</v>
      </c>
      <c r="C41" t="s">
        <v>833</v>
      </c>
      <c r="D41" t="s">
        <v>834</v>
      </c>
      <c r="E41" t="s">
        <v>835</v>
      </c>
      <c r="F41" t="s">
        <v>836</v>
      </c>
      <c r="G41" t="s">
        <v>837</v>
      </c>
      <c r="H41" t="s">
        <v>838</v>
      </c>
      <c r="I41" t="s">
        <v>743</v>
      </c>
      <c r="J41" t="s">
        <v>744</v>
      </c>
      <c r="Q41">
        <v>5861.9</v>
      </c>
      <c r="R41">
        <v>6070</v>
      </c>
    </row>
    <row r="42" spans="1:18" x14ac:dyDescent="0.2">
      <c r="A42" t="s">
        <v>839</v>
      </c>
      <c r="B42" t="s">
        <v>840</v>
      </c>
      <c r="C42" t="s">
        <v>833</v>
      </c>
      <c r="D42" t="s">
        <v>834</v>
      </c>
      <c r="E42" t="s">
        <v>739</v>
      </c>
      <c r="F42" t="s">
        <v>740</v>
      </c>
      <c r="G42" t="s">
        <v>837</v>
      </c>
      <c r="H42" t="s">
        <v>838</v>
      </c>
      <c r="I42" t="s">
        <v>743</v>
      </c>
      <c r="J42" t="s">
        <v>744</v>
      </c>
      <c r="M42">
        <v>756.7</v>
      </c>
      <c r="N42" s="711">
        <v>790</v>
      </c>
      <c r="O42">
        <v>1257.4000000000001</v>
      </c>
      <c r="P42">
        <v>1347</v>
      </c>
      <c r="Q42">
        <v>3467.4</v>
      </c>
      <c r="R42">
        <v>3590.5</v>
      </c>
    </row>
    <row r="43" spans="1:18" x14ac:dyDescent="0.2">
      <c r="A43" t="s">
        <v>841</v>
      </c>
      <c r="B43" t="s">
        <v>842</v>
      </c>
      <c r="C43" t="s">
        <v>833</v>
      </c>
      <c r="D43" t="s">
        <v>834</v>
      </c>
      <c r="E43" t="s">
        <v>747</v>
      </c>
      <c r="F43" t="s">
        <v>748</v>
      </c>
      <c r="G43" t="s">
        <v>837</v>
      </c>
      <c r="H43" t="s">
        <v>838</v>
      </c>
      <c r="I43" t="s">
        <v>743</v>
      </c>
      <c r="J43" t="s">
        <v>744</v>
      </c>
      <c r="M43">
        <v>11.3</v>
      </c>
      <c r="N43" s="711">
        <v>11.8</v>
      </c>
      <c r="O43">
        <v>0.3</v>
      </c>
      <c r="P43">
        <v>0.5</v>
      </c>
      <c r="Q43">
        <v>42.8</v>
      </c>
      <c r="R43">
        <v>44.3</v>
      </c>
    </row>
    <row r="44" spans="1:18" x14ac:dyDescent="0.2">
      <c r="A44" t="s">
        <v>843</v>
      </c>
      <c r="B44" t="s">
        <v>844</v>
      </c>
      <c r="C44" t="s">
        <v>833</v>
      </c>
      <c r="D44" t="s">
        <v>834</v>
      </c>
      <c r="E44" t="s">
        <v>751</v>
      </c>
      <c r="F44" t="s">
        <v>752</v>
      </c>
      <c r="G44" t="s">
        <v>837</v>
      </c>
      <c r="H44" t="s">
        <v>838</v>
      </c>
      <c r="I44" t="s">
        <v>743</v>
      </c>
      <c r="J44" t="s">
        <v>744</v>
      </c>
      <c r="M44">
        <v>768</v>
      </c>
      <c r="N44" s="711">
        <v>801.8</v>
      </c>
      <c r="O44">
        <v>1257.7</v>
      </c>
      <c r="P44">
        <v>1347.5</v>
      </c>
      <c r="Q44">
        <v>3510.2</v>
      </c>
      <c r="R44">
        <v>3634.8</v>
      </c>
    </row>
    <row r="45" spans="1:18" x14ac:dyDescent="0.2">
      <c r="A45" t="s">
        <v>845</v>
      </c>
      <c r="B45" t="s">
        <v>846</v>
      </c>
      <c r="C45" t="s">
        <v>833</v>
      </c>
      <c r="D45" t="s">
        <v>834</v>
      </c>
      <c r="E45" t="s">
        <v>847</v>
      </c>
      <c r="F45" t="s">
        <v>848</v>
      </c>
      <c r="G45" t="s">
        <v>837</v>
      </c>
      <c r="H45" t="s">
        <v>838</v>
      </c>
      <c r="I45" t="s">
        <v>743</v>
      </c>
      <c r="J45" t="s">
        <v>744</v>
      </c>
      <c r="O45">
        <v>165.2</v>
      </c>
      <c r="P45">
        <v>177</v>
      </c>
    </row>
    <row r="46" spans="1:18" x14ac:dyDescent="0.2">
      <c r="A46" t="s">
        <v>849</v>
      </c>
      <c r="B46" t="s">
        <v>850</v>
      </c>
      <c r="C46" t="s">
        <v>833</v>
      </c>
      <c r="D46" t="s">
        <v>834</v>
      </c>
      <c r="E46" t="s">
        <v>819</v>
      </c>
      <c r="F46" t="s">
        <v>820</v>
      </c>
      <c r="G46" t="s">
        <v>837</v>
      </c>
      <c r="H46" t="s">
        <v>838</v>
      </c>
      <c r="I46" t="s">
        <v>743</v>
      </c>
      <c r="J46" t="s">
        <v>744</v>
      </c>
      <c r="M46">
        <v>768</v>
      </c>
      <c r="N46" s="711">
        <v>801.8</v>
      </c>
      <c r="O46">
        <v>1422.9</v>
      </c>
      <c r="P46">
        <v>1524.5</v>
      </c>
      <c r="Q46">
        <v>9372.1</v>
      </c>
      <c r="R46">
        <v>9704.7999999999993</v>
      </c>
    </row>
    <row r="47" spans="1:18" x14ac:dyDescent="0.2">
      <c r="A47" t="s">
        <v>851</v>
      </c>
      <c r="B47" t="s">
        <v>852</v>
      </c>
      <c r="C47" t="s">
        <v>853</v>
      </c>
      <c r="D47" t="s">
        <v>854</v>
      </c>
      <c r="E47" t="s">
        <v>819</v>
      </c>
      <c r="F47" t="s">
        <v>820</v>
      </c>
      <c r="G47" t="s">
        <v>855</v>
      </c>
      <c r="H47" t="s">
        <v>856</v>
      </c>
      <c r="I47" t="s">
        <v>743</v>
      </c>
      <c r="J47" t="s">
        <v>744</v>
      </c>
      <c r="K47">
        <v>11205</v>
      </c>
      <c r="L47">
        <v>11730.3</v>
      </c>
      <c r="M47">
        <v>36965.4</v>
      </c>
      <c r="N47" s="711">
        <v>38591.699999999997</v>
      </c>
      <c r="O47">
        <v>40830.1</v>
      </c>
      <c r="P47">
        <v>43741.2</v>
      </c>
      <c r="Q47">
        <v>238083.20000000001</v>
      </c>
      <c r="R47">
        <v>246531.9</v>
      </c>
    </row>
    <row r="48" spans="1:18" x14ac:dyDescent="0.2">
      <c r="A48" t="s">
        <v>857</v>
      </c>
      <c r="B48" t="s">
        <v>858</v>
      </c>
      <c r="C48" t="s">
        <v>853</v>
      </c>
      <c r="D48" t="s">
        <v>854</v>
      </c>
      <c r="E48" t="s">
        <v>739</v>
      </c>
      <c r="F48" t="s">
        <v>740</v>
      </c>
      <c r="G48" t="s">
        <v>859</v>
      </c>
      <c r="H48" t="s">
        <v>860</v>
      </c>
      <c r="I48" t="s">
        <v>743</v>
      </c>
      <c r="J48" t="s">
        <v>744</v>
      </c>
      <c r="M48">
        <v>-372.3</v>
      </c>
      <c r="N48" s="711">
        <v>-364</v>
      </c>
      <c r="Q48">
        <v>-1866</v>
      </c>
      <c r="R48">
        <v>-1777</v>
      </c>
    </row>
    <row r="49" spans="1:18" x14ac:dyDescent="0.2">
      <c r="A49" t="s">
        <v>861</v>
      </c>
      <c r="B49" t="s">
        <v>862</v>
      </c>
      <c r="C49" t="s">
        <v>853</v>
      </c>
      <c r="D49" t="s">
        <v>854</v>
      </c>
      <c r="E49" t="s">
        <v>747</v>
      </c>
      <c r="F49" t="s">
        <v>748</v>
      </c>
      <c r="G49" t="s">
        <v>859</v>
      </c>
      <c r="H49" t="s">
        <v>860</v>
      </c>
      <c r="I49" t="s">
        <v>743</v>
      </c>
      <c r="J49" t="s">
        <v>744</v>
      </c>
      <c r="M49">
        <v>0</v>
      </c>
      <c r="N49" s="711">
        <v>0</v>
      </c>
      <c r="Q49">
        <v>0</v>
      </c>
      <c r="R49">
        <v>0</v>
      </c>
    </row>
    <row r="50" spans="1:18" x14ac:dyDescent="0.2">
      <c r="A50" t="s">
        <v>863</v>
      </c>
      <c r="B50" t="s">
        <v>864</v>
      </c>
      <c r="C50" t="s">
        <v>853</v>
      </c>
      <c r="D50" t="s">
        <v>854</v>
      </c>
      <c r="E50" t="s">
        <v>751</v>
      </c>
      <c r="F50" t="s">
        <v>752</v>
      </c>
      <c r="G50" t="s">
        <v>859</v>
      </c>
      <c r="H50" t="s">
        <v>860</v>
      </c>
      <c r="I50" t="s">
        <v>743</v>
      </c>
      <c r="J50" t="s">
        <v>744</v>
      </c>
      <c r="M50">
        <v>-372.3</v>
      </c>
      <c r="N50" s="711">
        <v>-364</v>
      </c>
      <c r="Q50">
        <v>-1866</v>
      </c>
      <c r="R50">
        <v>-1777</v>
      </c>
    </row>
    <row r="51" spans="1:18" x14ac:dyDescent="0.2">
      <c r="A51" t="s">
        <v>865</v>
      </c>
      <c r="B51" t="s">
        <v>866</v>
      </c>
      <c r="C51" t="s">
        <v>853</v>
      </c>
      <c r="D51" t="s">
        <v>854</v>
      </c>
      <c r="E51" t="s">
        <v>819</v>
      </c>
      <c r="F51" t="s">
        <v>820</v>
      </c>
      <c r="G51" t="s">
        <v>859</v>
      </c>
      <c r="H51" t="s">
        <v>860</v>
      </c>
      <c r="I51" t="s">
        <v>743</v>
      </c>
      <c r="J51" t="s">
        <v>744</v>
      </c>
      <c r="M51">
        <v>-372.3</v>
      </c>
      <c r="N51" s="711">
        <v>-364</v>
      </c>
      <c r="Q51">
        <v>-1866</v>
      </c>
      <c r="R51">
        <v>-1777</v>
      </c>
    </row>
    <row r="52" spans="1:18" x14ac:dyDescent="0.2">
      <c r="A52" t="s">
        <v>867</v>
      </c>
      <c r="B52" t="s">
        <v>868</v>
      </c>
      <c r="C52" t="s">
        <v>853</v>
      </c>
      <c r="D52" t="s">
        <v>854</v>
      </c>
      <c r="E52" t="s">
        <v>739</v>
      </c>
      <c r="F52" t="s">
        <v>740</v>
      </c>
      <c r="G52" t="s">
        <v>869</v>
      </c>
      <c r="H52" t="s">
        <v>870</v>
      </c>
      <c r="I52" t="s">
        <v>743</v>
      </c>
      <c r="J52" t="s">
        <v>744</v>
      </c>
      <c r="K52">
        <v>-26.1</v>
      </c>
      <c r="L52">
        <v>-27.3</v>
      </c>
      <c r="M52">
        <v>-21.4</v>
      </c>
      <c r="N52" s="711">
        <v>-22.3</v>
      </c>
      <c r="O52">
        <v>-33.700000000000003</v>
      </c>
      <c r="P52">
        <v>-36.1</v>
      </c>
      <c r="Q52">
        <v>-241.7</v>
      </c>
      <c r="R52">
        <v>-245.3</v>
      </c>
    </row>
    <row r="53" spans="1:18" x14ac:dyDescent="0.2">
      <c r="A53" t="s">
        <v>871</v>
      </c>
      <c r="B53" t="s">
        <v>872</v>
      </c>
      <c r="C53" t="s">
        <v>853</v>
      </c>
      <c r="D53" t="s">
        <v>854</v>
      </c>
      <c r="E53" t="s">
        <v>747</v>
      </c>
      <c r="F53" t="s">
        <v>748</v>
      </c>
      <c r="G53" t="s">
        <v>869</v>
      </c>
      <c r="H53" t="s">
        <v>870</v>
      </c>
      <c r="I53" t="s">
        <v>743</v>
      </c>
      <c r="J53" t="s">
        <v>744</v>
      </c>
      <c r="K53">
        <v>0</v>
      </c>
      <c r="L53">
        <v>0</v>
      </c>
      <c r="M53">
        <v>-11</v>
      </c>
      <c r="N53" s="711">
        <v>-11.5</v>
      </c>
      <c r="O53">
        <v>0</v>
      </c>
      <c r="P53">
        <v>0</v>
      </c>
      <c r="Q53">
        <v>-794</v>
      </c>
      <c r="R53">
        <v>-805.5</v>
      </c>
    </row>
    <row r="54" spans="1:18" x14ac:dyDescent="0.2">
      <c r="A54" t="s">
        <v>873</v>
      </c>
      <c r="B54" t="s">
        <v>874</v>
      </c>
      <c r="C54" t="s">
        <v>853</v>
      </c>
      <c r="D54" t="s">
        <v>854</v>
      </c>
      <c r="E54" t="s">
        <v>751</v>
      </c>
      <c r="F54" t="s">
        <v>752</v>
      </c>
      <c r="G54" t="s">
        <v>869</v>
      </c>
      <c r="H54" t="s">
        <v>870</v>
      </c>
      <c r="I54" t="s">
        <v>743</v>
      </c>
      <c r="J54" t="s">
        <v>744</v>
      </c>
      <c r="K54">
        <v>-26.1</v>
      </c>
      <c r="L54">
        <v>-27.3</v>
      </c>
      <c r="M54">
        <v>-32.4</v>
      </c>
      <c r="N54" s="711">
        <v>-33.799999999999997</v>
      </c>
      <c r="O54">
        <v>-33.700000000000003</v>
      </c>
      <c r="P54">
        <v>-36.1</v>
      </c>
      <c r="Q54">
        <v>-1035.7</v>
      </c>
      <c r="R54">
        <v>-1050.8</v>
      </c>
    </row>
    <row r="55" spans="1:18" x14ac:dyDescent="0.2">
      <c r="A55" t="s">
        <v>875</v>
      </c>
      <c r="B55" t="s">
        <v>876</v>
      </c>
      <c r="C55" t="s">
        <v>853</v>
      </c>
      <c r="D55" t="s">
        <v>854</v>
      </c>
      <c r="E55" t="s">
        <v>739</v>
      </c>
      <c r="F55" t="s">
        <v>740</v>
      </c>
      <c r="G55" t="s">
        <v>877</v>
      </c>
      <c r="H55" t="s">
        <v>878</v>
      </c>
      <c r="I55" t="s">
        <v>743</v>
      </c>
      <c r="J55" t="s">
        <v>744</v>
      </c>
      <c r="K55">
        <v>11159.4</v>
      </c>
      <c r="L55">
        <v>11682.6</v>
      </c>
      <c r="M55">
        <v>36047.599999999999</v>
      </c>
      <c r="N55" s="711">
        <v>37658.300000000003</v>
      </c>
      <c r="O55">
        <v>40504.800000000003</v>
      </c>
      <c r="P55">
        <v>43392.7</v>
      </c>
      <c r="Q55">
        <v>193908</v>
      </c>
      <c r="R55">
        <v>200950.9</v>
      </c>
    </row>
    <row r="56" spans="1:18" x14ac:dyDescent="0.2">
      <c r="A56" t="s">
        <v>879</v>
      </c>
      <c r="B56" t="s">
        <v>880</v>
      </c>
      <c r="C56" t="s">
        <v>853</v>
      </c>
      <c r="D56" t="s">
        <v>854</v>
      </c>
      <c r="E56" t="s">
        <v>747</v>
      </c>
      <c r="F56" t="s">
        <v>748</v>
      </c>
      <c r="G56" t="s">
        <v>877</v>
      </c>
      <c r="H56" t="s">
        <v>878</v>
      </c>
      <c r="I56" t="s">
        <v>743</v>
      </c>
      <c r="J56" t="s">
        <v>744</v>
      </c>
      <c r="K56">
        <v>19.5</v>
      </c>
      <c r="L56">
        <v>20.399999999999999</v>
      </c>
      <c r="M56">
        <v>513.1</v>
      </c>
      <c r="N56" s="711">
        <v>535.6</v>
      </c>
      <c r="O56">
        <v>126.4</v>
      </c>
      <c r="P56">
        <v>135.4</v>
      </c>
      <c r="Q56">
        <v>35411.599999999999</v>
      </c>
      <c r="R56">
        <v>36683.199999999997</v>
      </c>
    </row>
    <row r="57" spans="1:18" x14ac:dyDescent="0.2">
      <c r="A57" t="s">
        <v>881</v>
      </c>
      <c r="B57" t="s">
        <v>882</v>
      </c>
      <c r="C57" t="s">
        <v>853</v>
      </c>
      <c r="D57" t="s">
        <v>854</v>
      </c>
      <c r="E57" t="s">
        <v>751</v>
      </c>
      <c r="F57" t="s">
        <v>752</v>
      </c>
      <c r="G57" t="s">
        <v>877</v>
      </c>
      <c r="H57" t="s">
        <v>878</v>
      </c>
      <c r="I57" t="s">
        <v>743</v>
      </c>
      <c r="J57" t="s">
        <v>744</v>
      </c>
      <c r="K57">
        <v>11178.9</v>
      </c>
      <c r="L57">
        <v>11703</v>
      </c>
      <c r="M57">
        <v>36560.699999999997</v>
      </c>
      <c r="N57" s="711">
        <v>38193.9</v>
      </c>
      <c r="O57">
        <v>40631.199999999997</v>
      </c>
      <c r="P57">
        <v>43528.1</v>
      </c>
      <c r="Q57">
        <v>229319.6</v>
      </c>
      <c r="R57">
        <v>237634.1</v>
      </c>
    </row>
    <row r="58" spans="1:18" x14ac:dyDescent="0.2">
      <c r="A58" t="s">
        <v>883</v>
      </c>
      <c r="B58" t="s">
        <v>884</v>
      </c>
      <c r="C58" t="s">
        <v>853</v>
      </c>
      <c r="D58" t="s">
        <v>854</v>
      </c>
      <c r="E58" t="s">
        <v>819</v>
      </c>
      <c r="F58" t="s">
        <v>820</v>
      </c>
      <c r="G58" t="s">
        <v>877</v>
      </c>
      <c r="H58" t="s">
        <v>878</v>
      </c>
      <c r="I58" t="s">
        <v>743</v>
      </c>
      <c r="J58" t="s">
        <v>744</v>
      </c>
      <c r="K58">
        <v>11178.9</v>
      </c>
      <c r="L58">
        <v>11703</v>
      </c>
      <c r="M58">
        <v>36560.699999999997</v>
      </c>
      <c r="N58" s="711">
        <v>38193.9</v>
      </c>
      <c r="O58">
        <v>40796.400000000001</v>
      </c>
      <c r="P58">
        <v>43705.1</v>
      </c>
      <c r="Q58">
        <v>235181.5</v>
      </c>
      <c r="R58">
        <v>243704.1</v>
      </c>
    </row>
    <row r="59" spans="1:18" x14ac:dyDescent="0.2">
      <c r="A59" t="s">
        <v>885</v>
      </c>
      <c r="B59" t="s">
        <v>886</v>
      </c>
      <c r="C59" t="s">
        <v>853</v>
      </c>
      <c r="D59" t="s">
        <v>854</v>
      </c>
      <c r="E59" t="s">
        <v>819</v>
      </c>
      <c r="F59" t="s">
        <v>820</v>
      </c>
      <c r="G59" t="s">
        <v>887</v>
      </c>
      <c r="H59" t="s">
        <v>886</v>
      </c>
      <c r="I59" t="s">
        <v>743</v>
      </c>
      <c r="J59" t="s">
        <v>744</v>
      </c>
      <c r="K59">
        <v>0</v>
      </c>
      <c r="M59">
        <v>143.5</v>
      </c>
      <c r="N59" s="711">
        <v>150</v>
      </c>
      <c r="O59">
        <v>292.2</v>
      </c>
      <c r="P59">
        <v>313</v>
      </c>
      <c r="Q59">
        <v>118.8</v>
      </c>
      <c r="R59">
        <v>123</v>
      </c>
    </row>
    <row r="60" spans="1:18" x14ac:dyDescent="0.2">
      <c r="A60" t="s">
        <v>888</v>
      </c>
      <c r="B60" t="s">
        <v>889</v>
      </c>
      <c r="C60" t="s">
        <v>853</v>
      </c>
      <c r="D60" t="s">
        <v>854</v>
      </c>
      <c r="E60" t="s">
        <v>819</v>
      </c>
      <c r="F60" t="s">
        <v>820</v>
      </c>
      <c r="G60" t="s">
        <v>890</v>
      </c>
      <c r="H60" t="s">
        <v>889</v>
      </c>
      <c r="I60" t="s">
        <v>743</v>
      </c>
      <c r="J60" t="s">
        <v>744</v>
      </c>
      <c r="K60">
        <v>0</v>
      </c>
      <c r="M60">
        <v>143.5</v>
      </c>
      <c r="N60" s="711">
        <v>150</v>
      </c>
      <c r="O60">
        <v>292.2</v>
      </c>
      <c r="P60">
        <v>313</v>
      </c>
      <c r="Q60">
        <v>118.8</v>
      </c>
      <c r="R60">
        <v>123</v>
      </c>
    </row>
    <row r="61" spans="1:18" x14ac:dyDescent="0.2">
      <c r="A61" t="s">
        <v>891</v>
      </c>
      <c r="B61" t="s">
        <v>892</v>
      </c>
      <c r="C61" t="s">
        <v>853</v>
      </c>
      <c r="D61" t="s">
        <v>854</v>
      </c>
      <c r="E61" t="s">
        <v>819</v>
      </c>
      <c r="F61" t="s">
        <v>820</v>
      </c>
      <c r="G61" t="s">
        <v>893</v>
      </c>
      <c r="H61" t="s">
        <v>894</v>
      </c>
      <c r="I61" t="s">
        <v>743</v>
      </c>
      <c r="J61" t="s">
        <v>744</v>
      </c>
      <c r="K61">
        <v>11178.9</v>
      </c>
      <c r="L61">
        <v>11703</v>
      </c>
      <c r="M61">
        <v>36704.199999999997</v>
      </c>
      <c r="N61" s="711">
        <v>38343.9</v>
      </c>
      <c r="O61">
        <v>41088.6</v>
      </c>
      <c r="P61">
        <v>44018.1</v>
      </c>
      <c r="Q61">
        <v>235300.3</v>
      </c>
      <c r="R61">
        <v>243827.1</v>
      </c>
    </row>
    <row r="62" spans="1:18" x14ac:dyDescent="0.2">
      <c r="A62" t="s">
        <v>895</v>
      </c>
      <c r="B62" t="s">
        <v>896</v>
      </c>
      <c r="C62" t="s">
        <v>897</v>
      </c>
      <c r="D62" t="s">
        <v>898</v>
      </c>
      <c r="E62" t="s">
        <v>899</v>
      </c>
      <c r="F62" t="s">
        <v>900</v>
      </c>
      <c r="G62" t="s">
        <v>901</v>
      </c>
      <c r="H62" t="s">
        <v>902</v>
      </c>
      <c r="I62" t="s">
        <v>743</v>
      </c>
      <c r="J62" t="s">
        <v>744</v>
      </c>
      <c r="K62">
        <v>0</v>
      </c>
      <c r="L62">
        <v>0</v>
      </c>
      <c r="M62">
        <v>0</v>
      </c>
      <c r="N62" s="711">
        <v>0</v>
      </c>
      <c r="O62">
        <v>0</v>
      </c>
      <c r="P62">
        <v>0</v>
      </c>
      <c r="Q62">
        <v>0</v>
      </c>
      <c r="R62">
        <v>0</v>
      </c>
    </row>
    <row r="63" spans="1:18" x14ac:dyDescent="0.2">
      <c r="A63" t="s">
        <v>903</v>
      </c>
      <c r="B63" t="s">
        <v>904</v>
      </c>
      <c r="C63" t="s">
        <v>897</v>
      </c>
      <c r="D63" t="s">
        <v>898</v>
      </c>
      <c r="E63" t="s">
        <v>905</v>
      </c>
      <c r="F63" t="s">
        <v>906</v>
      </c>
      <c r="G63" t="s">
        <v>901</v>
      </c>
      <c r="H63" t="s">
        <v>902</v>
      </c>
      <c r="I63" t="s">
        <v>743</v>
      </c>
      <c r="J63" t="s">
        <v>744</v>
      </c>
      <c r="K63">
        <v>0</v>
      </c>
      <c r="L63">
        <v>0</v>
      </c>
      <c r="M63">
        <v>0</v>
      </c>
      <c r="N63" s="711">
        <v>0</v>
      </c>
      <c r="O63">
        <v>0</v>
      </c>
      <c r="P63">
        <v>0</v>
      </c>
      <c r="Q63">
        <v>0</v>
      </c>
      <c r="R63">
        <v>0</v>
      </c>
    </row>
    <row r="64" spans="1:18" x14ac:dyDescent="0.2">
      <c r="A64" t="s">
        <v>907</v>
      </c>
      <c r="B64" t="s">
        <v>908</v>
      </c>
      <c r="C64" t="s">
        <v>897</v>
      </c>
      <c r="D64" t="s">
        <v>898</v>
      </c>
      <c r="E64" t="s">
        <v>909</v>
      </c>
      <c r="F64" t="s">
        <v>910</v>
      </c>
      <c r="G64" t="s">
        <v>901</v>
      </c>
      <c r="H64" t="s">
        <v>902</v>
      </c>
      <c r="I64" t="s">
        <v>743</v>
      </c>
      <c r="J64" t="s">
        <v>744</v>
      </c>
      <c r="K64">
        <v>0</v>
      </c>
      <c r="L64">
        <v>0</v>
      </c>
      <c r="M64">
        <v>0</v>
      </c>
      <c r="N64" s="711">
        <v>0</v>
      </c>
      <c r="O64">
        <v>0</v>
      </c>
      <c r="P64">
        <v>0</v>
      </c>
      <c r="Q64">
        <v>0</v>
      </c>
      <c r="R64">
        <v>0</v>
      </c>
    </row>
    <row r="65" spans="1:19" x14ac:dyDescent="0.2">
      <c r="A65" t="s">
        <v>911</v>
      </c>
      <c r="B65" t="s">
        <v>912</v>
      </c>
      <c r="C65" t="s">
        <v>913</v>
      </c>
      <c r="D65" t="s">
        <v>914</v>
      </c>
      <c r="E65" t="s">
        <v>819</v>
      </c>
      <c r="F65" t="s">
        <v>820</v>
      </c>
      <c r="G65" t="s">
        <v>901</v>
      </c>
      <c r="H65" t="s">
        <v>902</v>
      </c>
      <c r="I65" t="s">
        <v>743</v>
      </c>
      <c r="J65" t="s">
        <v>744</v>
      </c>
      <c r="M65">
        <v>372.3</v>
      </c>
      <c r="N65" s="711">
        <v>364</v>
      </c>
      <c r="Q65">
        <v>1866</v>
      </c>
      <c r="R65">
        <v>1777</v>
      </c>
    </row>
    <row r="66" spans="1:19" x14ac:dyDescent="0.2">
      <c r="A66" t="s">
        <v>915</v>
      </c>
      <c r="B66" t="s">
        <v>916</v>
      </c>
      <c r="C66" t="s">
        <v>917</v>
      </c>
      <c r="D66" t="s">
        <v>918</v>
      </c>
      <c r="E66" t="s">
        <v>819</v>
      </c>
      <c r="F66" t="s">
        <v>820</v>
      </c>
      <c r="G66" t="s">
        <v>901</v>
      </c>
      <c r="H66" t="s">
        <v>902</v>
      </c>
      <c r="I66" t="s">
        <v>743</v>
      </c>
      <c r="J66" t="s">
        <v>744</v>
      </c>
      <c r="M66">
        <v>372.3</v>
      </c>
      <c r="N66" s="711">
        <v>364</v>
      </c>
      <c r="Q66">
        <v>1866</v>
      </c>
      <c r="R66">
        <v>1777</v>
      </c>
    </row>
    <row r="67" spans="1:19" x14ac:dyDescent="0.2">
      <c r="A67" t="s">
        <v>919</v>
      </c>
      <c r="B67" t="s">
        <v>920</v>
      </c>
      <c r="C67" t="s">
        <v>921</v>
      </c>
      <c r="D67" t="s">
        <v>922</v>
      </c>
      <c r="E67" t="s">
        <v>819</v>
      </c>
      <c r="F67" t="s">
        <v>820</v>
      </c>
      <c r="G67" t="s">
        <v>901</v>
      </c>
      <c r="H67" t="s">
        <v>902</v>
      </c>
      <c r="I67" t="s">
        <v>743</v>
      </c>
      <c r="J67" t="s">
        <v>744</v>
      </c>
      <c r="K67">
        <v>1235.5999999999999</v>
      </c>
      <c r="L67">
        <v>1293.5</v>
      </c>
      <c r="M67">
        <v>4705.8999999999996</v>
      </c>
      <c r="N67" s="711">
        <v>4915.8</v>
      </c>
      <c r="O67">
        <v>3978.5</v>
      </c>
      <c r="P67">
        <v>4262.2</v>
      </c>
      <c r="Q67">
        <v>17733.8</v>
      </c>
      <c r="R67">
        <v>18389.8</v>
      </c>
    </row>
    <row r="68" spans="1:19" x14ac:dyDescent="0.2">
      <c r="A68" t="s">
        <v>923</v>
      </c>
      <c r="B68" t="s">
        <v>924</v>
      </c>
      <c r="C68" t="s">
        <v>925</v>
      </c>
      <c r="D68" t="s">
        <v>926</v>
      </c>
      <c r="E68" t="s">
        <v>927</v>
      </c>
      <c r="F68" t="s">
        <v>928</v>
      </c>
      <c r="G68" t="s">
        <v>929</v>
      </c>
      <c r="H68" t="s">
        <v>90</v>
      </c>
      <c r="I68" t="s">
        <v>743</v>
      </c>
      <c r="J68" t="s">
        <v>744</v>
      </c>
      <c r="K68">
        <v>12414.5</v>
      </c>
      <c r="L68">
        <v>12996.5</v>
      </c>
      <c r="M68">
        <v>41782.400000000001</v>
      </c>
      <c r="N68" s="711">
        <v>43623.7</v>
      </c>
      <c r="O68">
        <v>45067.1</v>
      </c>
      <c r="P68">
        <v>48280.3</v>
      </c>
      <c r="Q68">
        <v>254900.1</v>
      </c>
      <c r="R68">
        <v>263993.90000000002</v>
      </c>
    </row>
    <row r="69" spans="1:19" s="124" customFormat="1" x14ac:dyDescent="0.2">
      <c r="A69" s="124" t="s">
        <v>930</v>
      </c>
      <c r="B69" s="124" t="s">
        <v>931</v>
      </c>
      <c r="C69" s="124" t="s">
        <v>932</v>
      </c>
      <c r="D69" s="124" t="s">
        <v>933</v>
      </c>
      <c r="E69" s="124" t="s">
        <v>819</v>
      </c>
      <c r="F69" s="124" t="s">
        <v>820</v>
      </c>
      <c r="G69" s="124" t="s">
        <v>901</v>
      </c>
      <c r="H69" s="124" t="s">
        <v>902</v>
      </c>
      <c r="I69" s="124" t="s">
        <v>743</v>
      </c>
      <c r="J69" s="124" t="s">
        <v>744</v>
      </c>
      <c r="K69" s="124">
        <v>0</v>
      </c>
      <c r="L69" s="124">
        <v>0</v>
      </c>
      <c r="O69" s="124">
        <v>1620.3</v>
      </c>
      <c r="P69" s="124">
        <v>1735.8</v>
      </c>
      <c r="Q69" s="124">
        <v>33505.5</v>
      </c>
      <c r="R69" s="124">
        <v>34447.599999999999</v>
      </c>
    </row>
    <row r="70" spans="1:19" s="124" customFormat="1" x14ac:dyDescent="0.2">
      <c r="A70" s="124" t="s">
        <v>934</v>
      </c>
      <c r="B70" s="124" t="s">
        <v>935</v>
      </c>
      <c r="C70" s="124" t="s">
        <v>936</v>
      </c>
      <c r="D70" s="124" t="s">
        <v>937</v>
      </c>
      <c r="E70" s="124" t="s">
        <v>819</v>
      </c>
      <c r="F70" s="124" t="s">
        <v>820</v>
      </c>
      <c r="G70" s="124" t="s">
        <v>901</v>
      </c>
      <c r="H70" s="124" t="s">
        <v>902</v>
      </c>
      <c r="I70" s="124" t="s">
        <v>743</v>
      </c>
      <c r="J70" s="124" t="s">
        <v>744</v>
      </c>
      <c r="K70" s="124">
        <v>2562</v>
      </c>
      <c r="L70" s="124">
        <v>2682.2</v>
      </c>
      <c r="N70" s="711"/>
      <c r="O70" s="124">
        <v>5343.7</v>
      </c>
      <c r="P70" s="124">
        <v>5724.7</v>
      </c>
      <c r="Q70" s="124">
        <v>30281.3</v>
      </c>
      <c r="R70" s="124">
        <v>31220</v>
      </c>
      <c r="S70" s="124">
        <f>R70+P70+N70+L70</f>
        <v>39626.899999999994</v>
      </c>
    </row>
    <row r="71" spans="1:19" x14ac:dyDescent="0.2">
      <c r="A71" t="s">
        <v>938</v>
      </c>
      <c r="B71" t="s">
        <v>939</v>
      </c>
      <c r="C71" t="s">
        <v>940</v>
      </c>
      <c r="D71" t="s">
        <v>941</v>
      </c>
      <c r="E71" t="s">
        <v>819</v>
      </c>
      <c r="F71" t="s">
        <v>820</v>
      </c>
      <c r="G71" t="s">
        <v>901</v>
      </c>
      <c r="H71" t="s">
        <v>902</v>
      </c>
      <c r="I71" t="s">
        <v>743</v>
      </c>
      <c r="J71" t="s">
        <v>744</v>
      </c>
      <c r="O71">
        <v>2289.9</v>
      </c>
      <c r="P71">
        <v>2453.1999999999998</v>
      </c>
      <c r="Q71">
        <v>8349.1</v>
      </c>
      <c r="R71">
        <v>8607.9</v>
      </c>
      <c r="S71" s="124">
        <f>R71+P71+N71+L71</f>
        <v>11061.099999999999</v>
      </c>
    </row>
    <row r="72" spans="1:19" x14ac:dyDescent="0.2">
      <c r="A72" t="s">
        <v>942</v>
      </c>
      <c r="B72" t="s">
        <v>943</v>
      </c>
      <c r="C72" t="s">
        <v>944</v>
      </c>
      <c r="D72" t="s">
        <v>945</v>
      </c>
      <c r="E72" t="s">
        <v>819</v>
      </c>
      <c r="F72" t="s">
        <v>820</v>
      </c>
      <c r="G72" t="s">
        <v>901</v>
      </c>
      <c r="H72" t="s">
        <v>902</v>
      </c>
      <c r="I72" t="s">
        <v>743</v>
      </c>
      <c r="J72" t="s">
        <v>744</v>
      </c>
      <c r="K72">
        <v>2562</v>
      </c>
      <c r="L72">
        <v>2682.2</v>
      </c>
      <c r="M72">
        <v>0</v>
      </c>
      <c r="N72" s="711">
        <v>0</v>
      </c>
      <c r="O72">
        <v>9640.9</v>
      </c>
      <c r="P72">
        <v>10328.4</v>
      </c>
      <c r="Q72">
        <v>73751.199999999997</v>
      </c>
      <c r="R72">
        <v>75936.899999999994</v>
      </c>
      <c r="S72" s="124">
        <f>R72+P72+N72+L72</f>
        <v>88947.499999999985</v>
      </c>
    </row>
    <row r="73" spans="1:19" x14ac:dyDescent="0.2">
      <c r="A73" t="s">
        <v>946</v>
      </c>
      <c r="B73" t="s">
        <v>947</v>
      </c>
      <c r="C73" t="s">
        <v>948</v>
      </c>
      <c r="D73" t="s">
        <v>93</v>
      </c>
      <c r="E73" t="s">
        <v>835</v>
      </c>
      <c r="F73" t="s">
        <v>836</v>
      </c>
      <c r="G73" t="s">
        <v>901</v>
      </c>
      <c r="H73" t="s">
        <v>902</v>
      </c>
      <c r="I73" t="s">
        <v>743</v>
      </c>
      <c r="J73" t="s">
        <v>744</v>
      </c>
      <c r="Q73">
        <v>21271.1</v>
      </c>
      <c r="R73">
        <v>21747.1</v>
      </c>
    </row>
    <row r="74" spans="1:19" x14ac:dyDescent="0.2">
      <c r="A74" t="s">
        <v>949</v>
      </c>
      <c r="B74" t="s">
        <v>950</v>
      </c>
      <c r="C74" t="s">
        <v>951</v>
      </c>
      <c r="D74" t="s">
        <v>952</v>
      </c>
      <c r="E74" t="s">
        <v>835</v>
      </c>
      <c r="F74" t="s">
        <v>836</v>
      </c>
      <c r="G74" t="s">
        <v>901</v>
      </c>
      <c r="H74" t="s">
        <v>902</v>
      </c>
      <c r="I74" t="s">
        <v>743</v>
      </c>
      <c r="J74" t="s">
        <v>744</v>
      </c>
      <c r="Q74">
        <v>21271.1</v>
      </c>
      <c r="R74">
        <v>21747.1</v>
      </c>
    </row>
    <row r="75" spans="1:19" x14ac:dyDescent="0.2">
      <c r="A75" t="s">
        <v>953</v>
      </c>
      <c r="B75" t="s">
        <v>954</v>
      </c>
      <c r="C75" t="s">
        <v>948</v>
      </c>
      <c r="D75" t="s">
        <v>93</v>
      </c>
      <c r="E75" t="s">
        <v>819</v>
      </c>
      <c r="F75" t="s">
        <v>820</v>
      </c>
      <c r="G75" t="s">
        <v>901</v>
      </c>
      <c r="H75" t="s">
        <v>902</v>
      </c>
      <c r="I75" t="s">
        <v>743</v>
      </c>
      <c r="J75" t="s">
        <v>744</v>
      </c>
      <c r="Q75">
        <v>21271.1</v>
      </c>
      <c r="R75">
        <v>21747.1</v>
      </c>
    </row>
    <row r="76" spans="1:19" x14ac:dyDescent="0.2">
      <c r="A76" t="s">
        <v>955</v>
      </c>
      <c r="B76" t="s">
        <v>956</v>
      </c>
      <c r="C76" t="s">
        <v>951</v>
      </c>
      <c r="D76" t="s">
        <v>952</v>
      </c>
      <c r="E76" t="s">
        <v>819</v>
      </c>
      <c r="F76" t="s">
        <v>820</v>
      </c>
      <c r="G76" t="s">
        <v>901</v>
      </c>
      <c r="H76" t="s">
        <v>902</v>
      </c>
      <c r="I76" t="s">
        <v>743</v>
      </c>
      <c r="J76" t="s">
        <v>744</v>
      </c>
      <c r="Q76">
        <v>21271.1</v>
      </c>
      <c r="R76">
        <v>21747.1</v>
      </c>
    </row>
    <row r="77" spans="1:19" x14ac:dyDescent="0.2">
      <c r="A77" t="s">
        <v>957</v>
      </c>
      <c r="B77" t="s">
        <v>958</v>
      </c>
      <c r="C77" t="s">
        <v>959</v>
      </c>
      <c r="D77" t="s">
        <v>960</v>
      </c>
      <c r="E77" t="s">
        <v>835</v>
      </c>
      <c r="F77" t="s">
        <v>836</v>
      </c>
      <c r="G77" t="s">
        <v>901</v>
      </c>
      <c r="H77" t="s">
        <v>902</v>
      </c>
      <c r="I77" t="s">
        <v>743</v>
      </c>
      <c r="J77" t="s">
        <v>744</v>
      </c>
      <c r="Q77">
        <v>21271.1</v>
      </c>
      <c r="R77">
        <v>21747.1</v>
      </c>
    </row>
    <row r="78" spans="1:19" x14ac:dyDescent="0.2">
      <c r="A78" t="s">
        <v>961</v>
      </c>
      <c r="B78" t="s">
        <v>962</v>
      </c>
      <c r="C78" t="s">
        <v>959</v>
      </c>
      <c r="D78" t="s">
        <v>960</v>
      </c>
      <c r="E78" t="s">
        <v>819</v>
      </c>
      <c r="F78" t="s">
        <v>820</v>
      </c>
      <c r="G78" t="s">
        <v>901</v>
      </c>
      <c r="H78" t="s">
        <v>902</v>
      </c>
      <c r="I78" t="s">
        <v>743</v>
      </c>
      <c r="J78" t="s">
        <v>744</v>
      </c>
      <c r="Q78">
        <v>21271.1</v>
      </c>
      <c r="R78">
        <v>21747.1</v>
      </c>
    </row>
    <row r="79" spans="1:19" x14ac:dyDescent="0.2">
      <c r="A79" t="s">
        <v>963</v>
      </c>
      <c r="B79" t="s">
        <v>964</v>
      </c>
      <c r="C79" t="s">
        <v>965</v>
      </c>
      <c r="D79" t="s">
        <v>176</v>
      </c>
      <c r="E79" t="s">
        <v>739</v>
      </c>
      <c r="F79" t="s">
        <v>740</v>
      </c>
      <c r="G79" t="s">
        <v>901</v>
      </c>
      <c r="H79" t="s">
        <v>902</v>
      </c>
      <c r="I79" t="s">
        <v>743</v>
      </c>
      <c r="J79" t="s">
        <v>744</v>
      </c>
      <c r="K79">
        <v>2848.5</v>
      </c>
      <c r="L79">
        <v>2982</v>
      </c>
      <c r="M79">
        <v>13711</v>
      </c>
      <c r="N79" s="711">
        <v>14293.3</v>
      </c>
      <c r="O79">
        <v>12592.2</v>
      </c>
      <c r="P79">
        <v>13490</v>
      </c>
      <c r="Q79">
        <v>46194.8</v>
      </c>
      <c r="R79">
        <v>47904</v>
      </c>
    </row>
    <row r="80" spans="1:19" x14ac:dyDescent="0.2">
      <c r="A80" t="s">
        <v>966</v>
      </c>
      <c r="B80" t="s">
        <v>967</v>
      </c>
      <c r="C80" t="s">
        <v>965</v>
      </c>
      <c r="D80" t="s">
        <v>176</v>
      </c>
      <c r="E80" t="s">
        <v>747</v>
      </c>
      <c r="F80" t="s">
        <v>748</v>
      </c>
      <c r="G80" t="s">
        <v>901</v>
      </c>
      <c r="H80" t="s">
        <v>902</v>
      </c>
      <c r="I80" t="s">
        <v>743</v>
      </c>
      <c r="J80" t="s">
        <v>744</v>
      </c>
      <c r="K80">
        <v>0</v>
      </c>
      <c r="L80">
        <v>0</v>
      </c>
      <c r="M80">
        <v>0</v>
      </c>
      <c r="N80" s="711">
        <v>0</v>
      </c>
      <c r="O80">
        <v>0</v>
      </c>
      <c r="P80">
        <v>0</v>
      </c>
      <c r="Q80">
        <v>0</v>
      </c>
      <c r="R80">
        <v>0</v>
      </c>
    </row>
    <row r="81" spans="1:19" x14ac:dyDescent="0.2">
      <c r="A81" t="s">
        <v>968</v>
      </c>
      <c r="B81" t="s">
        <v>969</v>
      </c>
      <c r="C81" t="s">
        <v>965</v>
      </c>
      <c r="D81" t="s">
        <v>176</v>
      </c>
      <c r="E81" t="s">
        <v>751</v>
      </c>
      <c r="F81" t="s">
        <v>752</v>
      </c>
      <c r="G81" t="s">
        <v>901</v>
      </c>
      <c r="H81" t="s">
        <v>902</v>
      </c>
      <c r="I81" t="s">
        <v>743</v>
      </c>
      <c r="J81" t="s">
        <v>744</v>
      </c>
      <c r="K81">
        <v>2848.5</v>
      </c>
      <c r="L81">
        <v>2982</v>
      </c>
      <c r="M81">
        <v>13711</v>
      </c>
      <c r="N81" s="711">
        <v>14293.3</v>
      </c>
      <c r="O81">
        <v>12592.2</v>
      </c>
      <c r="P81">
        <v>13490</v>
      </c>
      <c r="Q81">
        <v>46194.8</v>
      </c>
      <c r="R81">
        <v>47904</v>
      </c>
    </row>
    <row r="82" spans="1:19" x14ac:dyDescent="0.2">
      <c r="A82" t="s">
        <v>970</v>
      </c>
      <c r="B82" t="s">
        <v>971</v>
      </c>
      <c r="C82" t="s">
        <v>965</v>
      </c>
      <c r="D82" t="s">
        <v>176</v>
      </c>
      <c r="E82" t="s">
        <v>972</v>
      </c>
      <c r="F82" t="s">
        <v>973</v>
      </c>
      <c r="G82" t="s">
        <v>901</v>
      </c>
      <c r="H82" t="s">
        <v>902</v>
      </c>
      <c r="I82" t="s">
        <v>743</v>
      </c>
      <c r="J82" t="s">
        <v>744</v>
      </c>
      <c r="K82">
        <v>635.5</v>
      </c>
      <c r="L82">
        <v>665.3</v>
      </c>
      <c r="M82">
        <v>1947</v>
      </c>
      <c r="N82" s="711">
        <v>2030.8</v>
      </c>
      <c r="Q82">
        <v>6914</v>
      </c>
      <c r="R82">
        <v>7169.8</v>
      </c>
    </row>
    <row r="83" spans="1:19" x14ac:dyDescent="0.2">
      <c r="A83" t="s">
        <v>974</v>
      </c>
      <c r="B83" t="s">
        <v>975</v>
      </c>
      <c r="C83" t="s">
        <v>965</v>
      </c>
      <c r="D83" t="s">
        <v>176</v>
      </c>
      <c r="E83" t="s">
        <v>976</v>
      </c>
      <c r="F83" t="s">
        <v>977</v>
      </c>
      <c r="G83" t="s">
        <v>901</v>
      </c>
      <c r="H83" t="s">
        <v>902</v>
      </c>
      <c r="I83" t="s">
        <v>743</v>
      </c>
      <c r="J83" t="s">
        <v>744</v>
      </c>
      <c r="K83">
        <v>1.7</v>
      </c>
      <c r="L83">
        <v>1.8</v>
      </c>
      <c r="M83">
        <v>4.9000000000000004</v>
      </c>
      <c r="N83" s="711">
        <v>5.2</v>
      </c>
      <c r="Q83">
        <v>18.100000000000001</v>
      </c>
      <c r="R83">
        <v>18.7</v>
      </c>
    </row>
    <row r="84" spans="1:19" x14ac:dyDescent="0.2">
      <c r="A84" t="s">
        <v>978</v>
      </c>
      <c r="B84" t="s">
        <v>979</v>
      </c>
      <c r="C84" t="s">
        <v>965</v>
      </c>
      <c r="D84" t="s">
        <v>176</v>
      </c>
      <c r="E84" t="s">
        <v>980</v>
      </c>
      <c r="F84" t="s">
        <v>981</v>
      </c>
      <c r="G84" t="s">
        <v>901</v>
      </c>
      <c r="H84" t="s">
        <v>902</v>
      </c>
      <c r="I84" t="s">
        <v>743</v>
      </c>
      <c r="J84" t="s">
        <v>744</v>
      </c>
      <c r="K84">
        <v>108.4</v>
      </c>
      <c r="L84">
        <v>113.4</v>
      </c>
      <c r="M84">
        <v>325.2</v>
      </c>
      <c r="N84" s="711">
        <v>339.2</v>
      </c>
      <c r="Q84">
        <v>1170.0999999999999</v>
      </c>
      <c r="R84">
        <v>1213.3</v>
      </c>
    </row>
    <row r="85" spans="1:19" x14ac:dyDescent="0.2">
      <c r="A85" t="s">
        <v>982</v>
      </c>
      <c r="B85" t="s">
        <v>983</v>
      </c>
      <c r="C85" t="s">
        <v>965</v>
      </c>
      <c r="D85" t="s">
        <v>176</v>
      </c>
      <c r="E85" t="s">
        <v>984</v>
      </c>
      <c r="F85" t="s">
        <v>985</v>
      </c>
      <c r="G85" t="s">
        <v>901</v>
      </c>
      <c r="H85" t="s">
        <v>902</v>
      </c>
      <c r="I85" t="s">
        <v>743</v>
      </c>
      <c r="J85" t="s">
        <v>744</v>
      </c>
      <c r="K85">
        <v>745.6</v>
      </c>
      <c r="L85">
        <v>780.5</v>
      </c>
      <c r="M85">
        <v>2277.1</v>
      </c>
      <c r="N85" s="711">
        <v>2375.1999999999998</v>
      </c>
      <c r="Q85">
        <v>8102.2</v>
      </c>
      <c r="R85">
        <v>8401.7999999999993</v>
      </c>
    </row>
    <row r="86" spans="1:19" x14ac:dyDescent="0.2">
      <c r="A86" t="s">
        <v>986</v>
      </c>
      <c r="B86" t="s">
        <v>987</v>
      </c>
      <c r="C86" t="s">
        <v>965</v>
      </c>
      <c r="D86" t="s">
        <v>176</v>
      </c>
      <c r="E86" t="s">
        <v>847</v>
      </c>
      <c r="F86" t="s">
        <v>848</v>
      </c>
      <c r="G86" t="s">
        <v>901</v>
      </c>
      <c r="H86" t="s">
        <v>902</v>
      </c>
      <c r="I86" t="s">
        <v>743</v>
      </c>
      <c r="J86" t="s">
        <v>744</v>
      </c>
      <c r="K86">
        <v>0</v>
      </c>
      <c r="M86">
        <v>5987.4</v>
      </c>
      <c r="N86" s="711">
        <v>6238.8</v>
      </c>
      <c r="O86">
        <v>22009.9</v>
      </c>
      <c r="P86">
        <v>23579.1</v>
      </c>
      <c r="Q86">
        <v>25737.7</v>
      </c>
      <c r="R86">
        <v>26587.1</v>
      </c>
    </row>
    <row r="87" spans="1:19" x14ac:dyDescent="0.2">
      <c r="A87" t="s">
        <v>988</v>
      </c>
      <c r="B87" t="s">
        <v>989</v>
      </c>
      <c r="C87" t="s">
        <v>965</v>
      </c>
      <c r="D87" t="s">
        <v>176</v>
      </c>
      <c r="E87" t="s">
        <v>990</v>
      </c>
      <c r="F87" t="s">
        <v>991</v>
      </c>
      <c r="G87" t="s">
        <v>901</v>
      </c>
      <c r="H87" t="s">
        <v>902</v>
      </c>
      <c r="I87" t="s">
        <v>743</v>
      </c>
      <c r="J87" t="s">
        <v>744</v>
      </c>
      <c r="K87">
        <v>77.8</v>
      </c>
      <c r="L87">
        <v>81.400000000000006</v>
      </c>
      <c r="M87">
        <v>580.79999999999995</v>
      </c>
      <c r="N87" s="711">
        <v>605.70000000000005</v>
      </c>
      <c r="Q87">
        <v>2124.9</v>
      </c>
      <c r="R87">
        <v>2203.5</v>
      </c>
    </row>
    <row r="88" spans="1:19" s="135" customFormat="1" x14ac:dyDescent="0.2">
      <c r="A88" s="135" t="s">
        <v>992</v>
      </c>
      <c r="B88" s="135" t="s">
        <v>993</v>
      </c>
      <c r="C88" s="135" t="s">
        <v>965</v>
      </c>
      <c r="D88" s="135" t="s">
        <v>176</v>
      </c>
      <c r="E88" s="135" t="s">
        <v>835</v>
      </c>
      <c r="F88" s="135" t="s">
        <v>836</v>
      </c>
      <c r="G88" s="135" t="s">
        <v>901</v>
      </c>
      <c r="H88" s="135" t="s">
        <v>902</v>
      </c>
      <c r="I88" s="135" t="s">
        <v>743</v>
      </c>
      <c r="J88" s="135" t="s">
        <v>744</v>
      </c>
      <c r="K88" s="135">
        <v>6180.6</v>
      </c>
      <c r="L88" s="135">
        <v>6470.4</v>
      </c>
      <c r="M88" s="135">
        <v>18971.099999999999</v>
      </c>
      <c r="N88" s="711">
        <v>19843.7</v>
      </c>
      <c r="O88" s="135">
        <v>824.1</v>
      </c>
      <c r="P88" s="135">
        <v>882.8</v>
      </c>
      <c r="Q88" s="135">
        <v>78775.100000000006</v>
      </c>
      <c r="R88" s="135">
        <v>82320.100000000006</v>
      </c>
    </row>
    <row r="89" spans="1:19" s="124" customFormat="1" x14ac:dyDescent="0.2">
      <c r="A89" s="124" t="s">
        <v>994</v>
      </c>
      <c r="B89" s="124" t="s">
        <v>995</v>
      </c>
      <c r="C89" s="124" t="s">
        <v>965</v>
      </c>
      <c r="D89" s="124" t="s">
        <v>176</v>
      </c>
      <c r="E89" s="124" t="s">
        <v>819</v>
      </c>
      <c r="F89" s="124" t="s">
        <v>820</v>
      </c>
      <c r="G89" s="124" t="s">
        <v>901</v>
      </c>
      <c r="H89" s="124" t="s">
        <v>902</v>
      </c>
      <c r="I89" s="124" t="s">
        <v>743</v>
      </c>
      <c r="J89" s="124" t="s">
        <v>744</v>
      </c>
      <c r="K89" s="124">
        <v>9852.5</v>
      </c>
      <c r="L89" s="124">
        <v>10314.299999999999</v>
      </c>
      <c r="M89" s="124">
        <v>41527.4</v>
      </c>
      <c r="N89" s="711">
        <v>43356.7</v>
      </c>
      <c r="O89" s="124">
        <v>35426.199999999997</v>
      </c>
      <c r="P89" s="124">
        <v>37951.9</v>
      </c>
      <c r="Q89" s="124">
        <v>160934.70000000001</v>
      </c>
      <c r="R89" s="124">
        <v>167416.5</v>
      </c>
      <c r="S89" s="124">
        <f>R89+P89+N89+L89</f>
        <v>259039.39999999997</v>
      </c>
    </row>
    <row r="90" spans="1:19" x14ac:dyDescent="0.2">
      <c r="A90" t="s">
        <v>996</v>
      </c>
      <c r="B90" t="s">
        <v>997</v>
      </c>
      <c r="C90" t="s">
        <v>998</v>
      </c>
      <c r="D90" t="s">
        <v>999</v>
      </c>
      <c r="E90" t="s">
        <v>819</v>
      </c>
      <c r="F90" t="s">
        <v>820</v>
      </c>
      <c r="G90" t="s">
        <v>901</v>
      </c>
      <c r="H90" t="s">
        <v>902</v>
      </c>
      <c r="I90" t="s">
        <v>743</v>
      </c>
      <c r="J90" t="s">
        <v>744</v>
      </c>
      <c r="M90">
        <v>255</v>
      </c>
      <c r="N90" s="711">
        <v>267</v>
      </c>
      <c r="Q90">
        <v>-1056.9000000000001</v>
      </c>
      <c r="R90">
        <v>-1106.5999999999999</v>
      </c>
    </row>
    <row r="91" spans="1:19" x14ac:dyDescent="0.2">
      <c r="A91" t="s">
        <v>1000</v>
      </c>
      <c r="B91" t="s">
        <v>1001</v>
      </c>
      <c r="C91" t="s">
        <v>1002</v>
      </c>
      <c r="D91" t="s">
        <v>107</v>
      </c>
      <c r="E91" t="s">
        <v>819</v>
      </c>
      <c r="F91" t="s">
        <v>820</v>
      </c>
      <c r="G91" t="s">
        <v>901</v>
      </c>
      <c r="H91" t="s">
        <v>902</v>
      </c>
      <c r="I91" t="s">
        <v>743</v>
      </c>
      <c r="J91" t="s">
        <v>744</v>
      </c>
      <c r="M91">
        <v>255</v>
      </c>
      <c r="N91" s="711">
        <v>267</v>
      </c>
      <c r="Q91">
        <v>-1056.9000000000001</v>
      </c>
      <c r="R91">
        <v>-1106.5999999999999</v>
      </c>
    </row>
    <row r="92" spans="1:19" x14ac:dyDescent="0.2">
      <c r="A92" t="s">
        <v>1003</v>
      </c>
      <c r="B92" t="s">
        <v>1004</v>
      </c>
      <c r="C92" t="s">
        <v>1005</v>
      </c>
      <c r="D92" t="s">
        <v>1006</v>
      </c>
      <c r="E92" t="s">
        <v>899</v>
      </c>
      <c r="F92" t="s">
        <v>900</v>
      </c>
      <c r="G92" t="s">
        <v>901</v>
      </c>
      <c r="H92" t="s">
        <v>902</v>
      </c>
      <c r="I92" t="s">
        <v>743</v>
      </c>
      <c r="J92" t="s">
        <v>744</v>
      </c>
      <c r="K92">
        <v>0</v>
      </c>
      <c r="L92">
        <v>0</v>
      </c>
      <c r="M92">
        <v>0</v>
      </c>
      <c r="N92" s="711">
        <v>0</v>
      </c>
      <c r="O92">
        <v>0</v>
      </c>
      <c r="P92">
        <v>0</v>
      </c>
      <c r="Q92">
        <v>0</v>
      </c>
      <c r="R92">
        <v>0</v>
      </c>
    </row>
    <row r="93" spans="1:19" x14ac:dyDescent="0.2">
      <c r="A93" t="s">
        <v>1007</v>
      </c>
      <c r="B93" t="s">
        <v>1008</v>
      </c>
      <c r="C93" t="s">
        <v>1005</v>
      </c>
      <c r="D93" t="s">
        <v>1006</v>
      </c>
      <c r="E93" t="s">
        <v>905</v>
      </c>
      <c r="F93" t="s">
        <v>906</v>
      </c>
      <c r="G93" t="s">
        <v>901</v>
      </c>
      <c r="H93" t="s">
        <v>902</v>
      </c>
      <c r="I93" t="s">
        <v>743</v>
      </c>
      <c r="J93" t="s">
        <v>744</v>
      </c>
      <c r="K93">
        <v>0</v>
      </c>
      <c r="L93">
        <v>0</v>
      </c>
      <c r="M93">
        <v>0</v>
      </c>
      <c r="N93" s="711">
        <v>0</v>
      </c>
      <c r="O93">
        <v>0</v>
      </c>
      <c r="P93">
        <v>0</v>
      </c>
      <c r="Q93">
        <v>0</v>
      </c>
      <c r="R93">
        <v>0</v>
      </c>
    </row>
    <row r="94" spans="1:19" x14ac:dyDescent="0.2">
      <c r="A94" t="s">
        <v>1009</v>
      </c>
      <c r="B94" t="s">
        <v>1010</v>
      </c>
      <c r="C94" t="s">
        <v>1005</v>
      </c>
      <c r="D94" t="s">
        <v>1006</v>
      </c>
      <c r="E94" t="s">
        <v>909</v>
      </c>
      <c r="F94" t="s">
        <v>910</v>
      </c>
      <c r="G94" t="s">
        <v>901</v>
      </c>
      <c r="H94" t="s">
        <v>902</v>
      </c>
      <c r="I94" t="s">
        <v>743</v>
      </c>
      <c r="J94" t="s">
        <v>744</v>
      </c>
      <c r="K94">
        <v>0</v>
      </c>
      <c r="L94">
        <v>0</v>
      </c>
      <c r="M94">
        <v>0</v>
      </c>
      <c r="N94" s="711">
        <v>0</v>
      </c>
      <c r="O94">
        <v>0</v>
      </c>
      <c r="P94">
        <v>0</v>
      </c>
      <c r="Q94">
        <v>0</v>
      </c>
      <c r="R94">
        <v>0</v>
      </c>
    </row>
    <row r="95" spans="1:19" x14ac:dyDescent="0.2">
      <c r="A95" t="s">
        <v>1011</v>
      </c>
      <c r="B95" t="s">
        <v>1012</v>
      </c>
      <c r="C95" t="s">
        <v>1013</v>
      </c>
      <c r="D95" t="s">
        <v>1014</v>
      </c>
      <c r="E95" t="s">
        <v>927</v>
      </c>
      <c r="F95" t="s">
        <v>928</v>
      </c>
      <c r="G95" t="s">
        <v>929</v>
      </c>
      <c r="H95" t="s">
        <v>90</v>
      </c>
      <c r="I95" t="s">
        <v>743</v>
      </c>
      <c r="J95" t="s">
        <v>744</v>
      </c>
      <c r="K95">
        <v>12414.5</v>
      </c>
      <c r="L95">
        <v>12996.5</v>
      </c>
      <c r="M95">
        <v>41782.400000000001</v>
      </c>
      <c r="N95" s="711">
        <v>43623.7</v>
      </c>
      <c r="O95">
        <v>45067.1</v>
      </c>
      <c r="P95">
        <v>48280.3</v>
      </c>
      <c r="Q95">
        <v>254900.1</v>
      </c>
      <c r="R95">
        <v>263993.90000000002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X78"/>
  <sheetViews>
    <sheetView workbookViewId="0">
      <selection sqref="A1:XFD1048576"/>
    </sheetView>
  </sheetViews>
  <sheetFormatPr baseColWidth="10" defaultColWidth="10.28515625" defaultRowHeight="12.75" x14ac:dyDescent="0.2"/>
  <cols>
    <col min="1" max="256" width="12.5703125" customWidth="1"/>
  </cols>
  <sheetData>
    <row r="1" spans="1:75" x14ac:dyDescent="0.2">
      <c r="A1" s="709" t="s">
        <v>710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</row>
    <row r="2" spans="1:75" x14ac:dyDescent="0.2">
      <c r="A2" s="130" t="s">
        <v>218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</row>
    <row r="3" spans="1:75" x14ac:dyDescent="0.2">
      <c r="A3" s="130" t="s">
        <v>219</v>
      </c>
      <c r="B3" s="130" t="s">
        <v>214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</row>
    <row r="4" spans="1:75" x14ac:dyDescent="0.2">
      <c r="A4" s="130" t="s">
        <v>220</v>
      </c>
      <c r="B4" s="130" t="s">
        <v>132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</row>
    <row r="5" spans="1:75" x14ac:dyDescent="0.2">
      <c r="A5" s="130" t="s">
        <v>221</v>
      </c>
      <c r="B5" s="130" t="s">
        <v>222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</row>
    <row r="6" spans="1:75" x14ac:dyDescent="0.2">
      <c r="A6" s="130" t="s">
        <v>223</v>
      </c>
      <c r="B6" s="130" t="s">
        <v>224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</row>
    <row r="7" spans="1:75" x14ac:dyDescent="0.2">
      <c r="A7" s="130" t="s">
        <v>225</v>
      </c>
      <c r="B7" s="130" t="s">
        <v>226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</row>
    <row r="8" spans="1:75" x14ac:dyDescent="0.2">
      <c r="A8" s="130" t="s">
        <v>227</v>
      </c>
      <c r="B8" s="130" t="s">
        <v>228</v>
      </c>
      <c r="C8" s="130" t="s">
        <v>229</v>
      </c>
      <c r="D8" s="130" t="s">
        <v>230</v>
      </c>
      <c r="E8" s="130" t="s">
        <v>231</v>
      </c>
      <c r="F8" s="131" t="s">
        <v>232</v>
      </c>
      <c r="G8" s="130" t="s">
        <v>233</v>
      </c>
      <c r="H8" s="130" t="s">
        <v>234</v>
      </c>
      <c r="I8" s="130" t="s">
        <v>235</v>
      </c>
      <c r="J8" s="130" t="s">
        <v>236</v>
      </c>
      <c r="K8" s="130" t="s">
        <v>237</v>
      </c>
      <c r="L8" s="130" t="s">
        <v>238</v>
      </c>
      <c r="M8" s="130" t="s">
        <v>239</v>
      </c>
      <c r="N8" s="130" t="s">
        <v>240</v>
      </c>
      <c r="O8" s="130" t="s">
        <v>241</v>
      </c>
      <c r="P8" s="130" t="s">
        <v>242</v>
      </c>
      <c r="Q8" s="130" t="s">
        <v>243</v>
      </c>
      <c r="R8" s="130" t="s">
        <v>244</v>
      </c>
      <c r="S8" s="130" t="s">
        <v>245</v>
      </c>
      <c r="T8" s="130" t="s">
        <v>246</v>
      </c>
      <c r="U8" s="130" t="s">
        <v>247</v>
      </c>
      <c r="V8" s="130" t="s">
        <v>248</v>
      </c>
      <c r="W8" s="130" t="s">
        <v>249</v>
      </c>
      <c r="X8" s="132" t="s">
        <v>250</v>
      </c>
      <c r="Y8" s="130" t="s">
        <v>251</v>
      </c>
      <c r="Z8" s="130" t="s">
        <v>252</v>
      </c>
      <c r="AA8" s="130" t="s">
        <v>253</v>
      </c>
      <c r="AB8" s="131" t="s">
        <v>254</v>
      </c>
      <c r="AC8" s="130" t="s">
        <v>255</v>
      </c>
      <c r="AD8" s="130" t="s">
        <v>256</v>
      </c>
      <c r="AE8" s="130" t="s">
        <v>257</v>
      </c>
      <c r="AF8" s="130" t="s">
        <v>258</v>
      </c>
      <c r="AG8" s="130" t="s">
        <v>259</v>
      </c>
      <c r="AH8" s="130" t="s">
        <v>260</v>
      </c>
      <c r="AI8" s="130" t="s">
        <v>261</v>
      </c>
      <c r="AJ8" s="130" t="s">
        <v>262</v>
      </c>
      <c r="AK8" s="130" t="s">
        <v>263</v>
      </c>
      <c r="AL8" s="130" t="s">
        <v>264</v>
      </c>
      <c r="AM8" s="130" t="s">
        <v>265</v>
      </c>
      <c r="AN8" s="130" t="s">
        <v>266</v>
      </c>
      <c r="AO8" s="130" t="s">
        <v>267</v>
      </c>
      <c r="AP8" s="130" t="s">
        <v>268</v>
      </c>
      <c r="AQ8" s="130" t="s">
        <v>269</v>
      </c>
      <c r="AR8" s="130" t="s">
        <v>270</v>
      </c>
      <c r="AS8" s="130" t="s">
        <v>271</v>
      </c>
      <c r="AT8" s="130" t="s">
        <v>272</v>
      </c>
      <c r="AU8" s="130" t="s">
        <v>273</v>
      </c>
      <c r="AV8" s="130" t="s">
        <v>274</v>
      </c>
      <c r="AW8" s="130" t="s">
        <v>275</v>
      </c>
      <c r="AX8" s="130" t="s">
        <v>276</v>
      </c>
      <c r="AY8" s="130" t="s">
        <v>277</v>
      </c>
      <c r="AZ8" s="130" t="s">
        <v>278</v>
      </c>
      <c r="BA8" s="130" t="s">
        <v>279</v>
      </c>
      <c r="BB8" s="130" t="s">
        <v>280</v>
      </c>
      <c r="BC8" s="130" t="s">
        <v>281</v>
      </c>
      <c r="BD8" s="130" t="s">
        <v>282</v>
      </c>
      <c r="BE8" s="130" t="s">
        <v>283</v>
      </c>
      <c r="BF8" s="130" t="s">
        <v>284</v>
      </c>
      <c r="BG8" s="130" t="s">
        <v>285</v>
      </c>
      <c r="BH8" s="130" t="s">
        <v>286</v>
      </c>
      <c r="BI8" s="130" t="s">
        <v>287</v>
      </c>
      <c r="BJ8" s="130" t="s">
        <v>288</v>
      </c>
      <c r="BK8" s="130" t="s">
        <v>289</v>
      </c>
      <c r="BL8" s="130" t="s">
        <v>290</v>
      </c>
      <c r="BM8" s="130" t="s">
        <v>290</v>
      </c>
      <c r="BN8" s="130" t="s">
        <v>291</v>
      </c>
      <c r="BO8" s="130" t="s">
        <v>126</v>
      </c>
      <c r="BP8" s="130" t="s">
        <v>292</v>
      </c>
      <c r="BQ8" s="130" t="s">
        <v>292</v>
      </c>
      <c r="BR8" s="130" t="s">
        <v>293</v>
      </c>
      <c r="BS8" s="130" t="s">
        <v>294</v>
      </c>
      <c r="BT8" s="130" t="s">
        <v>94</v>
      </c>
      <c r="BU8" s="130" t="s">
        <v>107</v>
      </c>
      <c r="BV8" s="130" t="s">
        <v>295</v>
      </c>
      <c r="BW8" s="130" t="s">
        <v>296</v>
      </c>
    </row>
    <row r="9" spans="1:75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 t="s">
        <v>297</v>
      </c>
      <c r="BR9" s="130"/>
      <c r="BS9" s="130"/>
      <c r="BT9" s="130"/>
      <c r="BU9" s="130"/>
      <c r="BV9" s="130"/>
      <c r="BW9" s="130"/>
    </row>
    <row r="10" spans="1:75" x14ac:dyDescent="0.2">
      <c r="A10" s="130" t="s">
        <v>298</v>
      </c>
      <c r="B10" s="130" t="s">
        <v>299</v>
      </c>
      <c r="C10" s="130" t="s">
        <v>299</v>
      </c>
      <c r="D10" s="130" t="s">
        <v>299</v>
      </c>
      <c r="E10" s="130" t="s">
        <v>299</v>
      </c>
      <c r="F10" s="131" t="s">
        <v>299</v>
      </c>
      <c r="G10" s="130" t="s">
        <v>299</v>
      </c>
      <c r="H10" s="130" t="s">
        <v>299</v>
      </c>
      <c r="I10" s="130" t="s">
        <v>299</v>
      </c>
      <c r="J10" s="130" t="s">
        <v>299</v>
      </c>
      <c r="K10" s="130" t="s">
        <v>299</v>
      </c>
      <c r="L10" s="130" t="s">
        <v>299</v>
      </c>
      <c r="M10" s="130" t="s">
        <v>299</v>
      </c>
      <c r="N10" s="130" t="s">
        <v>299</v>
      </c>
      <c r="O10" s="130" t="s">
        <v>299</v>
      </c>
      <c r="P10" s="130" t="s">
        <v>299</v>
      </c>
      <c r="Q10" s="130" t="s">
        <v>299</v>
      </c>
      <c r="R10" s="130" t="s">
        <v>299</v>
      </c>
      <c r="S10" s="130" t="s">
        <v>299</v>
      </c>
      <c r="T10" s="130" t="s">
        <v>299</v>
      </c>
      <c r="U10" s="130" t="s">
        <v>299</v>
      </c>
      <c r="V10" s="130" t="s">
        <v>299</v>
      </c>
      <c r="W10" s="130" t="s">
        <v>299</v>
      </c>
      <c r="X10" s="132" t="s">
        <v>299</v>
      </c>
      <c r="Y10" s="130" t="s">
        <v>299</v>
      </c>
      <c r="Z10" s="130" t="s">
        <v>299</v>
      </c>
      <c r="AA10" s="130" t="s">
        <v>299</v>
      </c>
      <c r="AB10" s="131" t="s">
        <v>299</v>
      </c>
      <c r="AC10" s="130" t="s">
        <v>299</v>
      </c>
      <c r="AD10" s="130" t="s">
        <v>299</v>
      </c>
      <c r="AE10" s="130" t="s">
        <v>299</v>
      </c>
      <c r="AF10" s="130" t="s">
        <v>299</v>
      </c>
      <c r="AG10" s="130" t="s">
        <v>299</v>
      </c>
      <c r="AH10" s="130" t="s">
        <v>299</v>
      </c>
      <c r="AI10" s="130" t="s">
        <v>299</v>
      </c>
      <c r="AJ10" s="130" t="s">
        <v>299</v>
      </c>
      <c r="AK10" s="130" t="s">
        <v>299</v>
      </c>
      <c r="AL10" s="130" t="s">
        <v>299</v>
      </c>
      <c r="AM10" s="130" t="s">
        <v>299</v>
      </c>
      <c r="AN10" s="130" t="s">
        <v>299</v>
      </c>
      <c r="AO10" s="130" t="s">
        <v>299</v>
      </c>
      <c r="AP10" s="130" t="s">
        <v>299</v>
      </c>
      <c r="AQ10" s="130" t="s">
        <v>299</v>
      </c>
      <c r="AR10" s="130" t="s">
        <v>299</v>
      </c>
      <c r="AS10" s="130" t="s">
        <v>299</v>
      </c>
      <c r="AT10" s="130" t="s">
        <v>299</v>
      </c>
      <c r="AU10" s="130" t="s">
        <v>299</v>
      </c>
      <c r="AV10" s="130" t="s">
        <v>299</v>
      </c>
      <c r="AW10" s="130" t="s">
        <v>299</v>
      </c>
      <c r="AX10" s="130" t="s">
        <v>299</v>
      </c>
      <c r="AY10" s="130" t="s">
        <v>299</v>
      </c>
      <c r="AZ10" s="130" t="s">
        <v>299</v>
      </c>
      <c r="BA10" s="130" t="s">
        <v>299</v>
      </c>
      <c r="BB10" s="130" t="s">
        <v>299</v>
      </c>
      <c r="BC10" s="130" t="s">
        <v>299</v>
      </c>
      <c r="BD10" s="130" t="s">
        <v>299</v>
      </c>
      <c r="BE10" s="130" t="s">
        <v>299</v>
      </c>
      <c r="BF10" s="130" t="s">
        <v>299</v>
      </c>
      <c r="BG10" s="130" t="s">
        <v>299</v>
      </c>
      <c r="BH10" s="130" t="s">
        <v>299</v>
      </c>
      <c r="BI10" s="130" t="s">
        <v>299</v>
      </c>
      <c r="BJ10" s="130" t="s">
        <v>299</v>
      </c>
      <c r="BK10" s="130" t="s">
        <v>299</v>
      </c>
      <c r="BL10" s="130" t="s">
        <v>299</v>
      </c>
      <c r="BM10" s="130" t="s">
        <v>299</v>
      </c>
      <c r="BN10" s="130" t="s">
        <v>299</v>
      </c>
      <c r="BO10" s="130"/>
      <c r="BP10" s="130" t="s">
        <v>299</v>
      </c>
      <c r="BQ10" s="130" t="s">
        <v>299</v>
      </c>
      <c r="BR10" s="130" t="s">
        <v>299</v>
      </c>
      <c r="BS10" s="130" t="s">
        <v>299</v>
      </c>
      <c r="BT10" s="130" t="s">
        <v>299</v>
      </c>
      <c r="BU10" s="130" t="s">
        <v>299</v>
      </c>
      <c r="BV10" s="130" t="s">
        <v>299</v>
      </c>
      <c r="BW10" s="130" t="s">
        <v>299</v>
      </c>
    </row>
    <row r="11" spans="1:75" x14ac:dyDescent="0.2">
      <c r="A11" s="130" t="s">
        <v>300</v>
      </c>
      <c r="B11" s="133">
        <v>9530</v>
      </c>
      <c r="C11" s="130">
        <v>124</v>
      </c>
      <c r="D11" s="130">
        <v>6</v>
      </c>
      <c r="E11" s="130" t="s">
        <v>301</v>
      </c>
      <c r="F11" s="131">
        <v>36083</v>
      </c>
      <c r="G11" s="130">
        <v>7</v>
      </c>
      <c r="H11" s="130">
        <v>5451</v>
      </c>
      <c r="I11" s="130">
        <v>295</v>
      </c>
      <c r="J11" s="130" t="s">
        <v>301</v>
      </c>
      <c r="K11" s="130" t="s">
        <v>301</v>
      </c>
      <c r="L11" s="130">
        <v>1062</v>
      </c>
      <c r="M11" s="130" t="s">
        <v>301</v>
      </c>
      <c r="N11" s="130" t="s">
        <v>301</v>
      </c>
      <c r="O11" s="130" t="s">
        <v>301</v>
      </c>
      <c r="P11" s="130" t="s">
        <v>301</v>
      </c>
      <c r="Q11" s="130" t="s">
        <v>301</v>
      </c>
      <c r="R11" s="130" t="s">
        <v>301</v>
      </c>
      <c r="S11" s="130" t="s">
        <v>301</v>
      </c>
      <c r="T11" s="130" t="s">
        <v>301</v>
      </c>
      <c r="U11" s="130" t="s">
        <v>301</v>
      </c>
      <c r="V11" s="130" t="s">
        <v>301</v>
      </c>
      <c r="W11" s="130">
        <v>7</v>
      </c>
      <c r="X11" s="132" t="s">
        <v>301</v>
      </c>
      <c r="Y11" s="130">
        <v>69</v>
      </c>
      <c r="Z11" s="130" t="s">
        <v>301</v>
      </c>
      <c r="AA11" s="130" t="s">
        <v>301</v>
      </c>
      <c r="AB11" s="131">
        <v>1623</v>
      </c>
      <c r="AC11" s="130">
        <v>18</v>
      </c>
      <c r="AD11" s="130">
        <v>89</v>
      </c>
      <c r="AE11" s="130" t="s">
        <v>301</v>
      </c>
      <c r="AF11" s="130">
        <v>17</v>
      </c>
      <c r="AG11" s="130" t="s">
        <v>301</v>
      </c>
      <c r="AH11" s="130" t="s">
        <v>301</v>
      </c>
      <c r="AI11" s="130" t="s">
        <v>301</v>
      </c>
      <c r="AJ11" s="130" t="s">
        <v>301</v>
      </c>
      <c r="AK11" s="130">
        <v>2670</v>
      </c>
      <c r="AL11" s="130" t="s">
        <v>301</v>
      </c>
      <c r="AM11" s="130" t="s">
        <v>301</v>
      </c>
      <c r="AN11" s="130" t="s">
        <v>301</v>
      </c>
      <c r="AO11" s="130" t="s">
        <v>301</v>
      </c>
      <c r="AP11" s="130" t="s">
        <v>301</v>
      </c>
      <c r="AQ11" s="130" t="s">
        <v>301</v>
      </c>
      <c r="AR11" s="130" t="s">
        <v>301</v>
      </c>
      <c r="AS11" s="130" t="s">
        <v>301</v>
      </c>
      <c r="AT11" s="130">
        <v>7</v>
      </c>
      <c r="AU11" s="130" t="s">
        <v>301</v>
      </c>
      <c r="AV11" s="130" t="s">
        <v>301</v>
      </c>
      <c r="AW11" s="130" t="s">
        <v>301</v>
      </c>
      <c r="AX11" s="130" t="s">
        <v>301</v>
      </c>
      <c r="AY11" s="130" t="s">
        <v>301</v>
      </c>
      <c r="AZ11" s="130" t="s">
        <v>301</v>
      </c>
      <c r="BA11" s="130" t="s">
        <v>301</v>
      </c>
      <c r="BB11" s="130" t="s">
        <v>301</v>
      </c>
      <c r="BC11" s="130" t="s">
        <v>301</v>
      </c>
      <c r="BD11" s="130">
        <v>32</v>
      </c>
      <c r="BE11" s="130">
        <v>19</v>
      </c>
      <c r="BF11" s="130">
        <v>37</v>
      </c>
      <c r="BG11" s="130">
        <v>15</v>
      </c>
      <c r="BH11" s="130">
        <v>12</v>
      </c>
      <c r="BI11" s="130">
        <v>15</v>
      </c>
      <c r="BJ11" s="130">
        <v>8</v>
      </c>
      <c r="BK11" s="130" t="s">
        <v>301</v>
      </c>
      <c r="BL11" s="130">
        <v>56</v>
      </c>
      <c r="BM11" s="130" t="s">
        <v>301</v>
      </c>
      <c r="BN11" s="130" t="s">
        <v>301</v>
      </c>
      <c r="BO11" s="130">
        <v>57252</v>
      </c>
      <c r="BP11" s="130">
        <v>23866</v>
      </c>
      <c r="BQ11" s="130">
        <v>79</v>
      </c>
      <c r="BR11" s="130" t="s">
        <v>301</v>
      </c>
      <c r="BS11" s="130" t="s">
        <v>301</v>
      </c>
      <c r="BT11" s="130" t="s">
        <v>301</v>
      </c>
      <c r="BU11" s="130">
        <v>78</v>
      </c>
      <c r="BV11" s="130" t="s">
        <v>301</v>
      </c>
      <c r="BW11" s="130">
        <v>29245</v>
      </c>
    </row>
    <row r="12" spans="1:75" x14ac:dyDescent="0.2">
      <c r="A12" s="130" t="s">
        <v>302</v>
      </c>
      <c r="B12" s="130" t="s">
        <v>301</v>
      </c>
      <c r="C12" s="133">
        <v>1825</v>
      </c>
      <c r="D12" s="130" t="s">
        <v>301</v>
      </c>
      <c r="E12" s="130" t="s">
        <v>301</v>
      </c>
      <c r="F12" s="131" t="s">
        <v>301</v>
      </c>
      <c r="G12" s="130" t="s">
        <v>301</v>
      </c>
      <c r="H12" s="130">
        <v>5299</v>
      </c>
      <c r="I12" s="130">
        <v>1097</v>
      </c>
      <c r="J12" s="130" t="s">
        <v>301</v>
      </c>
      <c r="K12" s="130" t="s">
        <v>301</v>
      </c>
      <c r="L12" s="130" t="s">
        <v>301</v>
      </c>
      <c r="M12" s="130" t="s">
        <v>301</v>
      </c>
      <c r="N12" s="130" t="s">
        <v>301</v>
      </c>
      <c r="O12" s="130" t="s">
        <v>301</v>
      </c>
      <c r="P12" s="130" t="s">
        <v>301</v>
      </c>
      <c r="Q12" s="130" t="s">
        <v>301</v>
      </c>
      <c r="R12" s="130" t="s">
        <v>301</v>
      </c>
      <c r="S12" s="130" t="s">
        <v>301</v>
      </c>
      <c r="T12" s="130" t="s">
        <v>301</v>
      </c>
      <c r="U12" s="130" t="s">
        <v>301</v>
      </c>
      <c r="V12" s="130" t="s">
        <v>301</v>
      </c>
      <c r="W12" s="130" t="s">
        <v>301</v>
      </c>
      <c r="X12" s="132" t="s">
        <v>301</v>
      </c>
      <c r="Y12" s="130" t="s">
        <v>301</v>
      </c>
      <c r="Z12" s="130" t="s">
        <v>301</v>
      </c>
      <c r="AA12" s="130" t="s">
        <v>301</v>
      </c>
      <c r="AB12" s="131" t="s">
        <v>301</v>
      </c>
      <c r="AC12" s="130" t="s">
        <v>301</v>
      </c>
      <c r="AD12" s="130" t="s">
        <v>301</v>
      </c>
      <c r="AE12" s="130" t="s">
        <v>301</v>
      </c>
      <c r="AF12" s="130" t="s">
        <v>301</v>
      </c>
      <c r="AG12" s="130" t="s">
        <v>301</v>
      </c>
      <c r="AH12" s="130" t="s">
        <v>301</v>
      </c>
      <c r="AI12" s="130" t="s">
        <v>301</v>
      </c>
      <c r="AJ12" s="130" t="s">
        <v>301</v>
      </c>
      <c r="AK12" s="130" t="s">
        <v>301</v>
      </c>
      <c r="AL12" s="130" t="s">
        <v>301</v>
      </c>
      <c r="AM12" s="130" t="s">
        <v>301</v>
      </c>
      <c r="AN12" s="130" t="s">
        <v>301</v>
      </c>
      <c r="AO12" s="130" t="s">
        <v>301</v>
      </c>
      <c r="AP12" s="130" t="s">
        <v>301</v>
      </c>
      <c r="AQ12" s="130" t="s">
        <v>301</v>
      </c>
      <c r="AR12" s="130" t="s">
        <v>301</v>
      </c>
      <c r="AS12" s="130" t="s">
        <v>301</v>
      </c>
      <c r="AT12" s="130" t="s">
        <v>301</v>
      </c>
      <c r="AU12" s="130" t="s">
        <v>301</v>
      </c>
      <c r="AV12" s="130" t="s">
        <v>301</v>
      </c>
      <c r="AW12" s="130" t="s">
        <v>301</v>
      </c>
      <c r="AX12" s="130" t="s">
        <v>301</v>
      </c>
      <c r="AY12" s="130" t="s">
        <v>301</v>
      </c>
      <c r="AZ12" s="130" t="s">
        <v>301</v>
      </c>
      <c r="BA12" s="130" t="s">
        <v>301</v>
      </c>
      <c r="BB12" s="130" t="s">
        <v>301</v>
      </c>
      <c r="BC12" s="130" t="s">
        <v>301</v>
      </c>
      <c r="BD12" s="130">
        <v>308</v>
      </c>
      <c r="BE12" s="130" t="s">
        <v>301</v>
      </c>
      <c r="BF12" s="130" t="s">
        <v>301</v>
      </c>
      <c r="BG12" s="130" t="s">
        <v>301</v>
      </c>
      <c r="BH12" s="130" t="s">
        <v>301</v>
      </c>
      <c r="BI12" s="130" t="s">
        <v>301</v>
      </c>
      <c r="BJ12" s="130" t="s">
        <v>301</v>
      </c>
      <c r="BK12" s="130" t="s">
        <v>301</v>
      </c>
      <c r="BL12" s="130" t="s">
        <v>301</v>
      </c>
      <c r="BM12" s="130" t="s">
        <v>301</v>
      </c>
      <c r="BN12" s="130" t="s">
        <v>301</v>
      </c>
      <c r="BO12" s="130">
        <v>8529</v>
      </c>
      <c r="BP12" s="130">
        <v>522</v>
      </c>
      <c r="BQ12" s="130" t="s">
        <v>301</v>
      </c>
      <c r="BR12" s="130" t="s">
        <v>301</v>
      </c>
      <c r="BS12" s="130" t="s">
        <v>301</v>
      </c>
      <c r="BT12" s="130" t="s">
        <v>301</v>
      </c>
      <c r="BU12" s="130">
        <v>-4</v>
      </c>
      <c r="BV12" s="130" t="s">
        <v>301</v>
      </c>
      <c r="BW12" s="130">
        <v>841</v>
      </c>
    </row>
    <row r="13" spans="1:75" x14ac:dyDescent="0.2">
      <c r="A13" s="130" t="s">
        <v>303</v>
      </c>
      <c r="B13" s="130">
        <v>94</v>
      </c>
      <c r="C13" s="130" t="s">
        <v>301</v>
      </c>
      <c r="D13" s="133">
        <v>12</v>
      </c>
      <c r="E13" s="130" t="s">
        <v>301</v>
      </c>
      <c r="F13" s="131">
        <v>3749</v>
      </c>
      <c r="G13" s="130" t="s">
        <v>301</v>
      </c>
      <c r="H13" s="130" t="s">
        <v>301</v>
      </c>
      <c r="I13" s="130" t="s">
        <v>301</v>
      </c>
      <c r="J13" s="130" t="s">
        <v>301</v>
      </c>
      <c r="K13" s="130" t="s">
        <v>301</v>
      </c>
      <c r="L13" s="130" t="s">
        <v>301</v>
      </c>
      <c r="M13" s="130" t="s">
        <v>301</v>
      </c>
      <c r="N13" s="130" t="s">
        <v>301</v>
      </c>
      <c r="O13" s="130" t="s">
        <v>301</v>
      </c>
      <c r="P13" s="130" t="s">
        <v>301</v>
      </c>
      <c r="Q13" s="130" t="s">
        <v>301</v>
      </c>
      <c r="R13" s="130" t="s">
        <v>301</v>
      </c>
      <c r="S13" s="130" t="s">
        <v>301</v>
      </c>
      <c r="T13" s="130" t="s">
        <v>301</v>
      </c>
      <c r="U13" s="130" t="s">
        <v>301</v>
      </c>
      <c r="V13" s="130" t="s">
        <v>301</v>
      </c>
      <c r="W13" s="130" t="s">
        <v>301</v>
      </c>
      <c r="X13" s="132" t="s">
        <v>301</v>
      </c>
      <c r="Y13" s="130" t="s">
        <v>301</v>
      </c>
      <c r="Z13" s="130" t="s">
        <v>301</v>
      </c>
      <c r="AA13" s="130" t="s">
        <v>301</v>
      </c>
      <c r="AB13" s="131" t="s">
        <v>301</v>
      </c>
      <c r="AC13" s="130" t="s">
        <v>301</v>
      </c>
      <c r="AD13" s="130" t="s">
        <v>301</v>
      </c>
      <c r="AE13" s="130" t="s">
        <v>301</v>
      </c>
      <c r="AF13" s="130" t="s">
        <v>301</v>
      </c>
      <c r="AG13" s="130" t="s">
        <v>301</v>
      </c>
      <c r="AH13" s="130" t="s">
        <v>301</v>
      </c>
      <c r="AI13" s="130" t="s">
        <v>301</v>
      </c>
      <c r="AJ13" s="130" t="s">
        <v>301</v>
      </c>
      <c r="AK13" s="130">
        <v>549</v>
      </c>
      <c r="AL13" s="130" t="s">
        <v>301</v>
      </c>
      <c r="AM13" s="130" t="s">
        <v>301</v>
      </c>
      <c r="AN13" s="130" t="s">
        <v>301</v>
      </c>
      <c r="AO13" s="130" t="s">
        <v>301</v>
      </c>
      <c r="AP13" s="130" t="s">
        <v>301</v>
      </c>
      <c r="AQ13" s="130" t="s">
        <v>301</v>
      </c>
      <c r="AR13" s="130" t="s">
        <v>301</v>
      </c>
      <c r="AS13" s="130" t="s">
        <v>301</v>
      </c>
      <c r="AT13" s="130" t="s">
        <v>301</v>
      </c>
      <c r="AU13" s="130" t="s">
        <v>301</v>
      </c>
      <c r="AV13" s="130" t="s">
        <v>301</v>
      </c>
      <c r="AW13" s="130" t="s">
        <v>301</v>
      </c>
      <c r="AX13" s="130" t="s">
        <v>301</v>
      </c>
      <c r="AY13" s="130" t="s">
        <v>301</v>
      </c>
      <c r="AZ13" s="130" t="s">
        <v>301</v>
      </c>
      <c r="BA13" s="130" t="s">
        <v>301</v>
      </c>
      <c r="BB13" s="130" t="s">
        <v>301</v>
      </c>
      <c r="BC13" s="130" t="s">
        <v>301</v>
      </c>
      <c r="BD13" s="130">
        <v>4</v>
      </c>
      <c r="BE13" s="130" t="s">
        <v>301</v>
      </c>
      <c r="BF13" s="130" t="s">
        <v>301</v>
      </c>
      <c r="BG13" s="130" t="s">
        <v>301</v>
      </c>
      <c r="BH13" s="130" t="s">
        <v>301</v>
      </c>
      <c r="BI13" s="130" t="s">
        <v>301</v>
      </c>
      <c r="BJ13" s="130" t="s">
        <v>301</v>
      </c>
      <c r="BK13" s="130" t="s">
        <v>301</v>
      </c>
      <c r="BL13" s="130" t="s">
        <v>301</v>
      </c>
      <c r="BM13" s="130" t="s">
        <v>301</v>
      </c>
      <c r="BN13" s="130" t="s">
        <v>301</v>
      </c>
      <c r="BO13" s="130">
        <v>4408</v>
      </c>
      <c r="BP13" s="130">
        <v>2496</v>
      </c>
      <c r="BQ13" s="130" t="s">
        <v>301</v>
      </c>
      <c r="BR13" s="130" t="s">
        <v>301</v>
      </c>
      <c r="BS13" s="130" t="s">
        <v>301</v>
      </c>
      <c r="BT13" s="130" t="s">
        <v>301</v>
      </c>
      <c r="BU13" s="130">
        <v>78</v>
      </c>
      <c r="BV13" s="130" t="s">
        <v>301</v>
      </c>
      <c r="BW13" s="130">
        <v>2892</v>
      </c>
    </row>
    <row r="14" spans="1:75" x14ac:dyDescent="0.2">
      <c r="A14" s="130" t="s">
        <v>304</v>
      </c>
      <c r="B14" s="130">
        <v>259</v>
      </c>
      <c r="C14" s="130">
        <v>5</v>
      </c>
      <c r="D14" s="130" t="s">
        <v>301</v>
      </c>
      <c r="E14" s="133">
        <v>16281</v>
      </c>
      <c r="F14" s="131">
        <v>483</v>
      </c>
      <c r="G14" s="130">
        <v>20</v>
      </c>
      <c r="H14" s="130">
        <v>133</v>
      </c>
      <c r="I14" s="130">
        <v>508</v>
      </c>
      <c r="J14" s="130">
        <v>37</v>
      </c>
      <c r="K14" s="130">
        <v>49147</v>
      </c>
      <c r="L14" s="130">
        <v>1715</v>
      </c>
      <c r="M14" s="130">
        <v>26</v>
      </c>
      <c r="N14" s="130">
        <v>96</v>
      </c>
      <c r="O14" s="130">
        <v>3390</v>
      </c>
      <c r="P14" s="130">
        <v>14245</v>
      </c>
      <c r="Q14" s="130">
        <v>111</v>
      </c>
      <c r="R14" s="130">
        <v>12</v>
      </c>
      <c r="S14" s="130">
        <v>13</v>
      </c>
      <c r="T14" s="130">
        <v>57</v>
      </c>
      <c r="U14" s="130">
        <v>95</v>
      </c>
      <c r="V14" s="130">
        <v>38</v>
      </c>
      <c r="W14" s="130">
        <v>166</v>
      </c>
      <c r="X14" s="132" t="s">
        <v>301</v>
      </c>
      <c r="Y14" s="130">
        <v>3113</v>
      </c>
      <c r="Z14" s="130">
        <v>21</v>
      </c>
      <c r="AA14" s="130" t="s">
        <v>301</v>
      </c>
      <c r="AB14" s="131">
        <v>12290</v>
      </c>
      <c r="AC14" s="130">
        <v>144</v>
      </c>
      <c r="AD14" s="130">
        <v>280</v>
      </c>
      <c r="AE14" s="130">
        <v>458</v>
      </c>
      <c r="AF14" s="130">
        <v>100</v>
      </c>
      <c r="AG14" s="130">
        <v>29</v>
      </c>
      <c r="AH14" s="130">
        <v>14</v>
      </c>
      <c r="AI14" s="130">
        <v>226</v>
      </c>
      <c r="AJ14" s="130">
        <v>9</v>
      </c>
      <c r="AK14" s="130">
        <v>97</v>
      </c>
      <c r="AL14" s="130">
        <v>10</v>
      </c>
      <c r="AM14" s="130">
        <v>71</v>
      </c>
      <c r="AN14" s="130">
        <v>4</v>
      </c>
      <c r="AO14" s="130">
        <v>3</v>
      </c>
      <c r="AP14" s="130">
        <v>174</v>
      </c>
      <c r="AQ14" s="130">
        <v>1</v>
      </c>
      <c r="AR14" s="130">
        <v>62</v>
      </c>
      <c r="AS14" s="130" t="s">
        <v>301</v>
      </c>
      <c r="AT14" s="130">
        <v>1217</v>
      </c>
      <c r="AU14" s="130">
        <v>73</v>
      </c>
      <c r="AV14" s="130">
        <v>15</v>
      </c>
      <c r="AW14" s="130">
        <v>3</v>
      </c>
      <c r="AX14" s="130">
        <v>14</v>
      </c>
      <c r="AY14" s="130">
        <v>51</v>
      </c>
      <c r="AZ14" s="130">
        <v>45</v>
      </c>
      <c r="BA14" s="130">
        <v>9</v>
      </c>
      <c r="BB14" s="130">
        <v>1</v>
      </c>
      <c r="BC14" s="130">
        <v>68</v>
      </c>
      <c r="BD14" s="130">
        <v>1013</v>
      </c>
      <c r="BE14" s="130">
        <v>476</v>
      </c>
      <c r="BF14" s="130">
        <v>294</v>
      </c>
      <c r="BG14" s="130">
        <v>56</v>
      </c>
      <c r="BH14" s="130">
        <v>34</v>
      </c>
      <c r="BI14" s="130">
        <v>9</v>
      </c>
      <c r="BJ14" s="130">
        <v>135</v>
      </c>
      <c r="BK14" s="130" t="s">
        <v>301</v>
      </c>
      <c r="BL14" s="130">
        <v>9</v>
      </c>
      <c r="BM14" s="130" t="s">
        <v>301</v>
      </c>
      <c r="BN14" s="130" t="s">
        <v>301</v>
      </c>
      <c r="BO14" s="130">
        <v>107465</v>
      </c>
      <c r="BP14" s="130">
        <v>6908</v>
      </c>
      <c r="BQ14" s="130">
        <v>11</v>
      </c>
      <c r="BR14" s="130" t="s">
        <v>301</v>
      </c>
      <c r="BS14" s="130" t="s">
        <v>301</v>
      </c>
      <c r="BT14" s="130">
        <v>4980</v>
      </c>
      <c r="BU14" s="130">
        <v>-570</v>
      </c>
      <c r="BV14" s="130" t="s">
        <v>301</v>
      </c>
      <c r="BW14" s="130">
        <v>114152</v>
      </c>
    </row>
    <row r="15" spans="1:75" x14ac:dyDescent="0.2">
      <c r="A15" s="130" t="s">
        <v>305</v>
      </c>
      <c r="B15" s="130">
        <v>12633</v>
      </c>
      <c r="C15" s="130">
        <v>87</v>
      </c>
      <c r="D15" s="130">
        <v>175</v>
      </c>
      <c r="E15" s="130">
        <v>102</v>
      </c>
      <c r="F15" s="133">
        <v>24930</v>
      </c>
      <c r="G15" s="130">
        <v>40</v>
      </c>
      <c r="H15" s="130">
        <v>22</v>
      </c>
      <c r="I15" s="130">
        <v>130</v>
      </c>
      <c r="J15" s="130">
        <v>14</v>
      </c>
      <c r="K15" s="130">
        <v>6</v>
      </c>
      <c r="L15" s="130">
        <v>187</v>
      </c>
      <c r="M15" s="130">
        <v>90</v>
      </c>
      <c r="N15" s="130">
        <v>20</v>
      </c>
      <c r="O15" s="130">
        <v>18</v>
      </c>
      <c r="P15" s="130">
        <v>19</v>
      </c>
      <c r="Q15" s="130">
        <v>44</v>
      </c>
      <c r="R15" s="130">
        <v>21</v>
      </c>
      <c r="S15" s="130">
        <v>7</v>
      </c>
      <c r="T15" s="130">
        <v>37</v>
      </c>
      <c r="U15" s="130">
        <v>12</v>
      </c>
      <c r="V15" s="130">
        <v>39</v>
      </c>
      <c r="W15" s="130">
        <v>68</v>
      </c>
      <c r="X15" s="132" t="s">
        <v>301</v>
      </c>
      <c r="Y15" s="130">
        <v>63</v>
      </c>
      <c r="Z15" s="130">
        <v>4</v>
      </c>
      <c r="AA15" s="130">
        <v>20</v>
      </c>
      <c r="AB15" s="131">
        <v>104</v>
      </c>
      <c r="AC15" s="130">
        <v>426</v>
      </c>
      <c r="AD15" s="130">
        <v>580</v>
      </c>
      <c r="AE15" s="130">
        <v>485</v>
      </c>
      <c r="AF15" s="130">
        <v>40</v>
      </c>
      <c r="AG15" s="130">
        <v>7</v>
      </c>
      <c r="AH15" s="130">
        <v>42</v>
      </c>
      <c r="AI15" s="130">
        <v>75</v>
      </c>
      <c r="AJ15" s="130">
        <v>11</v>
      </c>
      <c r="AK15" s="130">
        <v>26669</v>
      </c>
      <c r="AL15" s="130">
        <v>47</v>
      </c>
      <c r="AM15" s="130">
        <v>70</v>
      </c>
      <c r="AN15" s="130">
        <v>85</v>
      </c>
      <c r="AO15" s="130">
        <v>90</v>
      </c>
      <c r="AP15" s="130">
        <v>117</v>
      </c>
      <c r="AQ15" s="130">
        <v>10</v>
      </c>
      <c r="AR15" s="130">
        <v>45</v>
      </c>
      <c r="AS15" s="130" t="s">
        <v>301</v>
      </c>
      <c r="AT15" s="130">
        <v>228</v>
      </c>
      <c r="AU15" s="130">
        <v>111</v>
      </c>
      <c r="AV15" s="130">
        <v>92</v>
      </c>
      <c r="AW15" s="130">
        <v>21</v>
      </c>
      <c r="AX15" s="130">
        <v>20</v>
      </c>
      <c r="AY15" s="130">
        <v>62</v>
      </c>
      <c r="AZ15" s="130">
        <v>49</v>
      </c>
      <c r="BA15" s="130">
        <v>22</v>
      </c>
      <c r="BB15" s="130">
        <v>23</v>
      </c>
      <c r="BC15" s="130">
        <v>138</v>
      </c>
      <c r="BD15" s="130">
        <v>374</v>
      </c>
      <c r="BE15" s="130">
        <v>518</v>
      </c>
      <c r="BF15" s="130">
        <v>885</v>
      </c>
      <c r="BG15" s="130">
        <v>421</v>
      </c>
      <c r="BH15" s="130">
        <v>234</v>
      </c>
      <c r="BI15" s="130">
        <v>424</v>
      </c>
      <c r="BJ15" s="130">
        <v>149</v>
      </c>
      <c r="BK15" s="130" t="s">
        <v>301</v>
      </c>
      <c r="BL15" s="130">
        <v>80</v>
      </c>
      <c r="BM15" s="130" t="s">
        <v>301</v>
      </c>
      <c r="BN15" s="130" t="s">
        <v>301</v>
      </c>
      <c r="BO15" s="130">
        <v>71542</v>
      </c>
      <c r="BP15" s="130">
        <v>142700</v>
      </c>
      <c r="BQ15" s="130">
        <v>860</v>
      </c>
      <c r="BR15" s="130" t="s">
        <v>301</v>
      </c>
      <c r="BS15" s="130" t="s">
        <v>301</v>
      </c>
      <c r="BT15" s="130" t="s">
        <v>301</v>
      </c>
      <c r="BU15" s="130">
        <v>-1796</v>
      </c>
      <c r="BV15" s="130" t="s">
        <v>301</v>
      </c>
      <c r="BW15" s="130">
        <v>36955</v>
      </c>
    </row>
    <row r="16" spans="1:75" x14ac:dyDescent="0.2">
      <c r="A16" s="130" t="s">
        <v>306</v>
      </c>
      <c r="B16" s="130">
        <v>233</v>
      </c>
      <c r="C16" s="130">
        <v>63</v>
      </c>
      <c r="D16" s="130">
        <v>102</v>
      </c>
      <c r="E16" s="130">
        <v>41</v>
      </c>
      <c r="F16" s="131">
        <v>123</v>
      </c>
      <c r="G16" s="133">
        <v>1941</v>
      </c>
      <c r="H16" s="130">
        <v>30</v>
      </c>
      <c r="I16" s="130">
        <v>190</v>
      </c>
      <c r="J16" s="130">
        <v>124</v>
      </c>
      <c r="K16" s="130">
        <v>1</v>
      </c>
      <c r="L16" s="130">
        <v>105</v>
      </c>
      <c r="M16" s="130">
        <v>1</v>
      </c>
      <c r="N16" s="130">
        <v>438</v>
      </c>
      <c r="O16" s="130">
        <v>26</v>
      </c>
      <c r="P16" s="130">
        <v>2</v>
      </c>
      <c r="Q16" s="130">
        <v>34</v>
      </c>
      <c r="R16" s="130">
        <v>7</v>
      </c>
      <c r="S16" s="130">
        <v>6</v>
      </c>
      <c r="T16" s="130">
        <v>21</v>
      </c>
      <c r="U16" s="130">
        <v>523</v>
      </c>
      <c r="V16" s="130">
        <v>12</v>
      </c>
      <c r="W16" s="130">
        <v>1084</v>
      </c>
      <c r="X16" s="132" t="s">
        <v>301</v>
      </c>
      <c r="Y16" s="130">
        <v>14</v>
      </c>
      <c r="Z16" s="130">
        <v>1</v>
      </c>
      <c r="AA16" s="130">
        <v>9</v>
      </c>
      <c r="AB16" s="131">
        <v>2525</v>
      </c>
      <c r="AC16" s="130">
        <v>105</v>
      </c>
      <c r="AD16" s="130">
        <v>32</v>
      </c>
      <c r="AE16" s="130">
        <v>33</v>
      </c>
      <c r="AF16" s="130">
        <v>55</v>
      </c>
      <c r="AG16" s="130">
        <v>13</v>
      </c>
      <c r="AH16" s="130">
        <v>9</v>
      </c>
      <c r="AI16" s="130">
        <v>47</v>
      </c>
      <c r="AJ16" s="130">
        <v>2</v>
      </c>
      <c r="AK16" s="130">
        <v>475</v>
      </c>
      <c r="AL16" s="130">
        <v>7</v>
      </c>
      <c r="AM16" s="130">
        <v>36</v>
      </c>
      <c r="AN16" s="130">
        <v>12</v>
      </c>
      <c r="AO16" s="130">
        <v>20</v>
      </c>
      <c r="AP16" s="130">
        <v>12</v>
      </c>
      <c r="AQ16" s="130">
        <v>1</v>
      </c>
      <c r="AR16" s="130">
        <v>3</v>
      </c>
      <c r="AS16" s="130" t="s">
        <v>301</v>
      </c>
      <c r="AT16" s="130">
        <v>32</v>
      </c>
      <c r="AU16" s="130">
        <v>28</v>
      </c>
      <c r="AV16" s="130">
        <v>50</v>
      </c>
      <c r="AW16" s="130">
        <v>13</v>
      </c>
      <c r="AX16" s="130">
        <v>9</v>
      </c>
      <c r="AY16" s="130">
        <v>31</v>
      </c>
      <c r="AZ16" s="130">
        <v>12</v>
      </c>
      <c r="BA16" s="130">
        <v>3</v>
      </c>
      <c r="BB16" s="130">
        <v>1</v>
      </c>
      <c r="BC16" s="130">
        <v>14</v>
      </c>
      <c r="BD16" s="130">
        <v>648</v>
      </c>
      <c r="BE16" s="130">
        <v>413</v>
      </c>
      <c r="BF16" s="130">
        <v>819</v>
      </c>
      <c r="BG16" s="130">
        <v>224</v>
      </c>
      <c r="BH16" s="130">
        <v>71</v>
      </c>
      <c r="BI16" s="130">
        <v>63</v>
      </c>
      <c r="BJ16" s="130">
        <v>88</v>
      </c>
      <c r="BK16" s="130" t="s">
        <v>301</v>
      </c>
      <c r="BL16" s="130">
        <v>265</v>
      </c>
      <c r="BM16" s="130" t="s">
        <v>301</v>
      </c>
      <c r="BN16" s="130" t="s">
        <v>301</v>
      </c>
      <c r="BO16" s="130">
        <v>11302</v>
      </c>
      <c r="BP16" s="130">
        <v>56399</v>
      </c>
      <c r="BQ16" s="130">
        <v>1199</v>
      </c>
      <c r="BR16" s="130" t="s">
        <v>301</v>
      </c>
      <c r="BS16" s="130" t="s">
        <v>301</v>
      </c>
      <c r="BT16" s="130">
        <v>116</v>
      </c>
      <c r="BU16" s="130">
        <v>1034</v>
      </c>
      <c r="BV16" s="130" t="s">
        <v>301</v>
      </c>
      <c r="BW16" s="130">
        <v>5553</v>
      </c>
    </row>
    <row r="17" spans="1:75" x14ac:dyDescent="0.2">
      <c r="A17" s="130" t="s">
        <v>307</v>
      </c>
      <c r="B17" s="130">
        <v>110</v>
      </c>
      <c r="C17" s="130">
        <v>22</v>
      </c>
      <c r="D17" s="130">
        <v>5</v>
      </c>
      <c r="E17" s="130">
        <v>19</v>
      </c>
      <c r="F17" s="131">
        <v>202</v>
      </c>
      <c r="G17" s="130">
        <v>9</v>
      </c>
      <c r="H17" s="133">
        <v>6356</v>
      </c>
      <c r="I17" s="130">
        <v>3813</v>
      </c>
      <c r="J17" s="130">
        <v>32</v>
      </c>
      <c r="K17" s="130">
        <v>2</v>
      </c>
      <c r="L17" s="130">
        <v>30</v>
      </c>
      <c r="M17" s="130">
        <v>8</v>
      </c>
      <c r="N17" s="130">
        <v>124</v>
      </c>
      <c r="O17" s="130">
        <v>56</v>
      </c>
      <c r="P17" s="130">
        <v>52</v>
      </c>
      <c r="Q17" s="130">
        <v>86</v>
      </c>
      <c r="R17" s="130">
        <v>4</v>
      </c>
      <c r="S17" s="130">
        <v>4</v>
      </c>
      <c r="T17" s="130">
        <v>49</v>
      </c>
      <c r="U17" s="130">
        <v>43</v>
      </c>
      <c r="V17" s="130">
        <v>34</v>
      </c>
      <c r="W17" s="130">
        <v>1798</v>
      </c>
      <c r="X17" s="132" t="s">
        <v>301</v>
      </c>
      <c r="Y17" s="130">
        <v>50</v>
      </c>
      <c r="Z17" s="130" t="s">
        <v>301</v>
      </c>
      <c r="AA17" s="130" t="s">
        <v>301</v>
      </c>
      <c r="AB17" s="131">
        <v>18022</v>
      </c>
      <c r="AC17" s="130">
        <v>1</v>
      </c>
      <c r="AD17" s="130">
        <v>144</v>
      </c>
      <c r="AE17" s="130" t="s">
        <v>301</v>
      </c>
      <c r="AF17" s="130">
        <v>15</v>
      </c>
      <c r="AG17" s="130" t="s">
        <v>301</v>
      </c>
      <c r="AH17" s="130" t="s">
        <v>301</v>
      </c>
      <c r="AI17" s="130">
        <v>8</v>
      </c>
      <c r="AJ17" s="130">
        <v>8</v>
      </c>
      <c r="AK17" s="130">
        <v>4</v>
      </c>
      <c r="AL17" s="130">
        <v>1</v>
      </c>
      <c r="AM17" s="130" t="s">
        <v>301</v>
      </c>
      <c r="AN17" s="130" t="s">
        <v>301</v>
      </c>
      <c r="AO17" s="130" t="s">
        <v>301</v>
      </c>
      <c r="AP17" s="130" t="s">
        <v>301</v>
      </c>
      <c r="AQ17" s="130" t="s">
        <v>301</v>
      </c>
      <c r="AR17" s="130" t="s">
        <v>301</v>
      </c>
      <c r="AS17" s="130" t="s">
        <v>301</v>
      </c>
      <c r="AT17" s="130" t="s">
        <v>301</v>
      </c>
      <c r="AU17" s="130" t="s">
        <v>301</v>
      </c>
      <c r="AV17" s="130" t="s">
        <v>301</v>
      </c>
      <c r="AW17" s="130" t="s">
        <v>301</v>
      </c>
      <c r="AX17" s="130" t="s">
        <v>301</v>
      </c>
      <c r="AY17" s="130" t="s">
        <v>301</v>
      </c>
      <c r="AZ17" s="130" t="s">
        <v>301</v>
      </c>
      <c r="BA17" s="130" t="s">
        <v>301</v>
      </c>
      <c r="BB17" s="130" t="s">
        <v>301</v>
      </c>
      <c r="BC17" s="130" t="s">
        <v>301</v>
      </c>
      <c r="BD17" s="130">
        <v>14</v>
      </c>
      <c r="BE17" s="130">
        <v>1</v>
      </c>
      <c r="BF17" s="130" t="s">
        <v>301</v>
      </c>
      <c r="BG17" s="130" t="s">
        <v>301</v>
      </c>
      <c r="BH17" s="130">
        <v>2</v>
      </c>
      <c r="BI17" s="130">
        <v>1</v>
      </c>
      <c r="BJ17" s="130" t="s">
        <v>301</v>
      </c>
      <c r="BK17" s="130" t="s">
        <v>301</v>
      </c>
      <c r="BL17" s="130" t="s">
        <v>301</v>
      </c>
      <c r="BM17" s="130" t="s">
        <v>301</v>
      </c>
      <c r="BN17" s="130" t="s">
        <v>301</v>
      </c>
      <c r="BO17" s="130">
        <v>31129</v>
      </c>
      <c r="BP17" s="130">
        <v>942</v>
      </c>
      <c r="BQ17" s="130" t="s">
        <v>301</v>
      </c>
      <c r="BR17" s="130" t="s">
        <v>301</v>
      </c>
      <c r="BS17" s="130" t="s">
        <v>301</v>
      </c>
      <c r="BT17" s="130">
        <v>63</v>
      </c>
      <c r="BU17" s="130">
        <v>337</v>
      </c>
      <c r="BV17" s="130" t="s">
        <v>301</v>
      </c>
      <c r="BW17" s="130">
        <v>17153</v>
      </c>
    </row>
    <row r="18" spans="1:75" x14ac:dyDescent="0.2">
      <c r="A18" s="130" t="s">
        <v>308</v>
      </c>
      <c r="B18" s="130">
        <v>183</v>
      </c>
      <c r="C18" s="130">
        <v>26</v>
      </c>
      <c r="D18" s="130">
        <v>43</v>
      </c>
      <c r="E18" s="130">
        <v>45</v>
      </c>
      <c r="F18" s="131">
        <v>3163</v>
      </c>
      <c r="G18" s="130">
        <v>50</v>
      </c>
      <c r="H18" s="130">
        <v>232</v>
      </c>
      <c r="I18" s="133">
        <v>6479</v>
      </c>
      <c r="J18" s="130">
        <v>2431</v>
      </c>
      <c r="K18" s="130">
        <v>12</v>
      </c>
      <c r="L18" s="130">
        <v>349</v>
      </c>
      <c r="M18" s="130">
        <v>64</v>
      </c>
      <c r="N18" s="130">
        <v>410</v>
      </c>
      <c r="O18" s="130">
        <v>133</v>
      </c>
      <c r="P18" s="130">
        <v>78</v>
      </c>
      <c r="Q18" s="130">
        <v>139</v>
      </c>
      <c r="R18" s="130">
        <v>65</v>
      </c>
      <c r="S18" s="130">
        <v>81</v>
      </c>
      <c r="T18" s="130">
        <v>47</v>
      </c>
      <c r="U18" s="130">
        <v>45</v>
      </c>
      <c r="V18" s="130">
        <v>28</v>
      </c>
      <c r="W18" s="130">
        <v>221</v>
      </c>
      <c r="X18" s="132" t="s">
        <v>301</v>
      </c>
      <c r="Y18" s="130">
        <v>28</v>
      </c>
      <c r="Z18" s="130">
        <v>1</v>
      </c>
      <c r="AA18" s="130">
        <v>30</v>
      </c>
      <c r="AB18" s="131">
        <v>813</v>
      </c>
      <c r="AC18" s="130">
        <v>287</v>
      </c>
      <c r="AD18" s="130">
        <v>813</v>
      </c>
      <c r="AE18" s="130">
        <v>133</v>
      </c>
      <c r="AF18" s="130">
        <v>41</v>
      </c>
      <c r="AG18" s="130">
        <v>10</v>
      </c>
      <c r="AH18" s="130">
        <v>11</v>
      </c>
      <c r="AI18" s="130">
        <v>144</v>
      </c>
      <c r="AJ18" s="130">
        <v>40</v>
      </c>
      <c r="AK18" s="130">
        <v>420</v>
      </c>
      <c r="AL18" s="130">
        <v>606</v>
      </c>
      <c r="AM18" s="130">
        <v>90</v>
      </c>
      <c r="AN18" s="130">
        <v>14</v>
      </c>
      <c r="AO18" s="130">
        <v>130</v>
      </c>
      <c r="AP18" s="130">
        <v>84</v>
      </c>
      <c r="AQ18" s="130">
        <v>12</v>
      </c>
      <c r="AR18" s="130">
        <v>51</v>
      </c>
      <c r="AS18" s="130" t="s">
        <v>301</v>
      </c>
      <c r="AT18" s="130">
        <v>76</v>
      </c>
      <c r="AU18" s="130">
        <v>190</v>
      </c>
      <c r="AV18" s="130">
        <v>258</v>
      </c>
      <c r="AW18" s="130">
        <v>40</v>
      </c>
      <c r="AX18" s="130">
        <v>30</v>
      </c>
      <c r="AY18" s="130">
        <v>123</v>
      </c>
      <c r="AZ18" s="130">
        <v>37</v>
      </c>
      <c r="BA18" s="130">
        <v>8</v>
      </c>
      <c r="BB18" s="130">
        <v>10</v>
      </c>
      <c r="BC18" s="130">
        <v>260</v>
      </c>
      <c r="BD18" s="130">
        <v>266</v>
      </c>
      <c r="BE18" s="130">
        <v>233</v>
      </c>
      <c r="BF18" s="130">
        <v>245</v>
      </c>
      <c r="BG18" s="130">
        <v>67</v>
      </c>
      <c r="BH18" s="130">
        <v>50</v>
      </c>
      <c r="BI18" s="130">
        <v>18</v>
      </c>
      <c r="BJ18" s="130">
        <v>264</v>
      </c>
      <c r="BK18" s="130" t="s">
        <v>301</v>
      </c>
      <c r="BL18" s="130">
        <v>57</v>
      </c>
      <c r="BM18" s="130" t="s">
        <v>301</v>
      </c>
      <c r="BN18" s="130" t="s">
        <v>301</v>
      </c>
      <c r="BO18" s="130">
        <v>20314</v>
      </c>
      <c r="BP18" s="130">
        <v>6600</v>
      </c>
      <c r="BQ18" s="130">
        <v>48</v>
      </c>
      <c r="BR18" s="130" t="s">
        <v>301</v>
      </c>
      <c r="BS18" s="130" t="s">
        <v>301</v>
      </c>
      <c r="BT18" s="130" t="s">
        <v>301</v>
      </c>
      <c r="BU18" s="130">
        <v>58</v>
      </c>
      <c r="BV18" s="130" t="s">
        <v>301</v>
      </c>
      <c r="BW18" s="130">
        <v>21260</v>
      </c>
    </row>
    <row r="19" spans="1:75" x14ac:dyDescent="0.2">
      <c r="A19" s="130" t="s">
        <v>309</v>
      </c>
      <c r="B19" s="130">
        <v>21</v>
      </c>
      <c r="C19" s="130">
        <v>15</v>
      </c>
      <c r="D19" s="130">
        <v>6</v>
      </c>
      <c r="E19" s="130">
        <v>113</v>
      </c>
      <c r="F19" s="131">
        <v>362</v>
      </c>
      <c r="G19" s="130">
        <v>19</v>
      </c>
      <c r="H19" s="130">
        <v>49</v>
      </c>
      <c r="I19" s="130">
        <v>42</v>
      </c>
      <c r="J19" s="133">
        <v>197</v>
      </c>
      <c r="K19" s="130">
        <v>7</v>
      </c>
      <c r="L19" s="130">
        <v>117</v>
      </c>
      <c r="M19" s="130">
        <v>32</v>
      </c>
      <c r="N19" s="130">
        <v>47</v>
      </c>
      <c r="O19" s="130">
        <v>40</v>
      </c>
      <c r="P19" s="130">
        <v>22</v>
      </c>
      <c r="Q19" s="130">
        <v>97</v>
      </c>
      <c r="R19" s="130">
        <v>34</v>
      </c>
      <c r="S19" s="130">
        <v>24</v>
      </c>
      <c r="T19" s="130">
        <v>87</v>
      </c>
      <c r="U19" s="130">
        <v>40</v>
      </c>
      <c r="V19" s="130">
        <v>43</v>
      </c>
      <c r="W19" s="130">
        <v>110</v>
      </c>
      <c r="X19" s="132" t="s">
        <v>301</v>
      </c>
      <c r="Y19" s="130">
        <v>39</v>
      </c>
      <c r="Z19" s="130">
        <v>2</v>
      </c>
      <c r="AA19" s="130">
        <v>42</v>
      </c>
      <c r="AB19" s="131">
        <v>180</v>
      </c>
      <c r="AC19" s="130">
        <v>604</v>
      </c>
      <c r="AD19" s="130">
        <v>718</v>
      </c>
      <c r="AE19" s="130">
        <v>1290</v>
      </c>
      <c r="AF19" s="130">
        <v>52</v>
      </c>
      <c r="AG19" s="130">
        <v>6</v>
      </c>
      <c r="AH19" s="130">
        <v>30</v>
      </c>
      <c r="AI19" s="130">
        <v>109</v>
      </c>
      <c r="AJ19" s="130">
        <v>79</v>
      </c>
      <c r="AK19" s="130">
        <v>152</v>
      </c>
      <c r="AL19" s="130">
        <v>562</v>
      </c>
      <c r="AM19" s="130">
        <v>147</v>
      </c>
      <c r="AN19" s="130">
        <v>251</v>
      </c>
      <c r="AO19" s="130">
        <v>218</v>
      </c>
      <c r="AP19" s="130">
        <v>619</v>
      </c>
      <c r="AQ19" s="130">
        <v>37</v>
      </c>
      <c r="AR19" s="130">
        <v>178</v>
      </c>
      <c r="AS19" s="130" t="s">
        <v>301</v>
      </c>
      <c r="AT19" s="130">
        <v>342</v>
      </c>
      <c r="AU19" s="130">
        <v>246</v>
      </c>
      <c r="AV19" s="130">
        <v>268</v>
      </c>
      <c r="AW19" s="130">
        <v>25</v>
      </c>
      <c r="AX19" s="130">
        <v>112</v>
      </c>
      <c r="AY19" s="130">
        <v>95</v>
      </c>
      <c r="AZ19" s="130">
        <v>81</v>
      </c>
      <c r="BA19" s="130">
        <v>23</v>
      </c>
      <c r="BB19" s="130">
        <v>37</v>
      </c>
      <c r="BC19" s="130">
        <v>182</v>
      </c>
      <c r="BD19" s="130">
        <v>545</v>
      </c>
      <c r="BE19" s="130">
        <v>865</v>
      </c>
      <c r="BF19" s="130">
        <v>465</v>
      </c>
      <c r="BG19" s="130">
        <v>349</v>
      </c>
      <c r="BH19" s="130">
        <v>308</v>
      </c>
      <c r="BI19" s="130">
        <v>68</v>
      </c>
      <c r="BJ19" s="130">
        <v>570</v>
      </c>
      <c r="BK19" s="130" t="s">
        <v>301</v>
      </c>
      <c r="BL19" s="130">
        <v>73</v>
      </c>
      <c r="BM19" s="130" t="s">
        <v>301</v>
      </c>
      <c r="BN19" s="130" t="s">
        <v>301</v>
      </c>
      <c r="BO19" s="130">
        <v>11493</v>
      </c>
      <c r="BP19" s="130">
        <v>824</v>
      </c>
      <c r="BQ19" s="130">
        <v>22</v>
      </c>
      <c r="BR19" s="130" t="s">
        <v>301</v>
      </c>
      <c r="BS19" s="130" t="s">
        <v>301</v>
      </c>
      <c r="BT19" s="130" t="s">
        <v>301</v>
      </c>
      <c r="BU19" s="130">
        <v>32</v>
      </c>
      <c r="BV19" s="130" t="s">
        <v>301</v>
      </c>
      <c r="BW19" s="130">
        <v>789</v>
      </c>
    </row>
    <row r="20" spans="1:75" x14ac:dyDescent="0.2">
      <c r="A20" s="130" t="s">
        <v>310</v>
      </c>
      <c r="B20" s="130">
        <v>3388</v>
      </c>
      <c r="C20" s="130">
        <v>2165</v>
      </c>
      <c r="D20" s="130">
        <v>340</v>
      </c>
      <c r="E20" s="130">
        <v>7926</v>
      </c>
      <c r="F20" s="131">
        <v>650</v>
      </c>
      <c r="G20" s="130">
        <v>29</v>
      </c>
      <c r="H20" s="130">
        <v>491</v>
      </c>
      <c r="I20" s="130">
        <v>211</v>
      </c>
      <c r="J20" s="130">
        <v>32</v>
      </c>
      <c r="K20" s="133">
        <v>4089</v>
      </c>
      <c r="L20" s="133">
        <v>2926</v>
      </c>
      <c r="M20" s="130">
        <v>25</v>
      </c>
      <c r="N20" s="130">
        <v>136</v>
      </c>
      <c r="O20" s="130">
        <v>1865</v>
      </c>
      <c r="P20" s="130">
        <v>1038</v>
      </c>
      <c r="Q20" s="130">
        <v>268</v>
      </c>
      <c r="R20" s="130">
        <v>23</v>
      </c>
      <c r="S20" s="130">
        <v>35</v>
      </c>
      <c r="T20" s="130">
        <v>137</v>
      </c>
      <c r="U20" s="130">
        <v>86</v>
      </c>
      <c r="V20" s="130">
        <v>61</v>
      </c>
      <c r="W20" s="130">
        <v>138</v>
      </c>
      <c r="X20" s="132" t="s">
        <v>301</v>
      </c>
      <c r="Y20" s="130">
        <v>792</v>
      </c>
      <c r="Z20" s="130">
        <v>147</v>
      </c>
      <c r="AA20" s="130">
        <v>505</v>
      </c>
      <c r="AB20" s="131">
        <v>4204</v>
      </c>
      <c r="AC20" s="130">
        <v>1738</v>
      </c>
      <c r="AD20" s="130">
        <v>3014</v>
      </c>
      <c r="AE20" s="130">
        <v>1506</v>
      </c>
      <c r="AF20" s="130">
        <v>15846</v>
      </c>
      <c r="AG20" s="130">
        <v>721</v>
      </c>
      <c r="AH20" s="130">
        <v>6799</v>
      </c>
      <c r="AI20" s="130">
        <v>730</v>
      </c>
      <c r="AJ20" s="130">
        <v>1004</v>
      </c>
      <c r="AK20" s="130">
        <v>752</v>
      </c>
      <c r="AL20" s="130">
        <v>39</v>
      </c>
      <c r="AM20" s="130">
        <v>129</v>
      </c>
      <c r="AN20" s="130">
        <v>472</v>
      </c>
      <c r="AO20" s="130">
        <v>163</v>
      </c>
      <c r="AP20" s="130">
        <v>623</v>
      </c>
      <c r="AQ20" s="130">
        <v>96</v>
      </c>
      <c r="AR20" s="130">
        <v>380</v>
      </c>
      <c r="AS20" s="130" t="s">
        <v>301</v>
      </c>
      <c r="AT20" s="130">
        <v>1761</v>
      </c>
      <c r="AU20" s="130">
        <v>295</v>
      </c>
      <c r="AV20" s="130">
        <v>306</v>
      </c>
      <c r="AW20" s="130">
        <v>32</v>
      </c>
      <c r="AX20" s="130">
        <v>104</v>
      </c>
      <c r="AY20" s="130">
        <v>124</v>
      </c>
      <c r="AZ20" s="130">
        <v>1169</v>
      </c>
      <c r="BA20" s="130">
        <v>106</v>
      </c>
      <c r="BB20" s="130">
        <v>25</v>
      </c>
      <c r="BC20" s="130">
        <v>1628</v>
      </c>
      <c r="BD20" s="130">
        <v>3027</v>
      </c>
      <c r="BE20" s="130">
        <v>2097</v>
      </c>
      <c r="BF20" s="130">
        <v>1752</v>
      </c>
      <c r="BG20" s="130">
        <v>364</v>
      </c>
      <c r="BH20" s="130">
        <v>120</v>
      </c>
      <c r="BI20" s="130">
        <v>82</v>
      </c>
      <c r="BJ20" s="130">
        <v>499</v>
      </c>
      <c r="BK20" s="130" t="s">
        <v>301</v>
      </c>
      <c r="BL20" s="130">
        <v>520</v>
      </c>
      <c r="BM20" s="130" t="s">
        <v>301</v>
      </c>
      <c r="BN20" s="130" t="s">
        <v>301</v>
      </c>
      <c r="BO20" s="130">
        <v>79730</v>
      </c>
      <c r="BP20" s="130">
        <v>49903</v>
      </c>
      <c r="BQ20" s="130">
        <v>992</v>
      </c>
      <c r="BR20" s="130" t="s">
        <v>301</v>
      </c>
      <c r="BS20" s="130" t="s">
        <v>301</v>
      </c>
      <c r="BT20" s="130" t="s">
        <v>301</v>
      </c>
      <c r="BU20" s="130">
        <v>48</v>
      </c>
      <c r="BV20" s="130" t="s">
        <v>301</v>
      </c>
      <c r="BW20" s="130">
        <v>22290</v>
      </c>
    </row>
    <row r="21" spans="1:75" x14ac:dyDescent="0.2">
      <c r="A21" s="130" t="s">
        <v>311</v>
      </c>
      <c r="B21" s="130">
        <v>9630</v>
      </c>
      <c r="C21" s="130">
        <v>43</v>
      </c>
      <c r="D21" s="130">
        <v>41</v>
      </c>
      <c r="E21" s="130">
        <v>2463</v>
      </c>
      <c r="F21" s="131">
        <v>560</v>
      </c>
      <c r="G21" s="130">
        <v>761</v>
      </c>
      <c r="H21" s="130">
        <v>961</v>
      </c>
      <c r="I21" s="130">
        <v>1920</v>
      </c>
      <c r="J21" s="130">
        <v>604</v>
      </c>
      <c r="K21" s="130">
        <v>620</v>
      </c>
      <c r="L21" s="130">
        <v>16712</v>
      </c>
      <c r="M21" s="130">
        <v>1874</v>
      </c>
      <c r="N21" s="130">
        <v>11479</v>
      </c>
      <c r="O21" s="130">
        <v>1065</v>
      </c>
      <c r="P21" s="130">
        <v>2197</v>
      </c>
      <c r="Q21" s="130">
        <v>688</v>
      </c>
      <c r="R21" s="130">
        <v>114</v>
      </c>
      <c r="S21" s="130">
        <v>294</v>
      </c>
      <c r="T21" s="130">
        <v>322</v>
      </c>
      <c r="U21" s="130">
        <v>1060</v>
      </c>
      <c r="V21" s="130">
        <v>165</v>
      </c>
      <c r="W21" s="130">
        <v>600</v>
      </c>
      <c r="X21" s="132" t="s">
        <v>301</v>
      </c>
      <c r="Y21" s="130">
        <v>486</v>
      </c>
      <c r="Z21" s="130">
        <v>2</v>
      </c>
      <c r="AA21" s="130">
        <v>55</v>
      </c>
      <c r="AB21" s="131">
        <v>3825</v>
      </c>
      <c r="AC21" s="130">
        <v>184</v>
      </c>
      <c r="AD21" s="130">
        <v>477</v>
      </c>
      <c r="AE21" s="130">
        <v>229</v>
      </c>
      <c r="AF21" s="130">
        <v>196</v>
      </c>
      <c r="AG21" s="130">
        <v>9</v>
      </c>
      <c r="AH21" s="130">
        <v>18</v>
      </c>
      <c r="AI21" s="130">
        <v>280</v>
      </c>
      <c r="AJ21" s="130">
        <v>54</v>
      </c>
      <c r="AK21" s="130">
        <v>257</v>
      </c>
      <c r="AL21" s="130">
        <v>89</v>
      </c>
      <c r="AM21" s="130">
        <v>162</v>
      </c>
      <c r="AN21" s="130">
        <v>53</v>
      </c>
      <c r="AO21" s="130">
        <v>179</v>
      </c>
      <c r="AP21" s="130">
        <v>168</v>
      </c>
      <c r="AQ21" s="130">
        <v>15</v>
      </c>
      <c r="AR21" s="130">
        <v>92</v>
      </c>
      <c r="AS21" s="130" t="s">
        <v>301</v>
      </c>
      <c r="AT21" s="130">
        <v>262</v>
      </c>
      <c r="AU21" s="130">
        <v>253</v>
      </c>
      <c r="AV21" s="130">
        <v>103</v>
      </c>
      <c r="AW21" s="130">
        <v>43</v>
      </c>
      <c r="AX21" s="130">
        <v>47</v>
      </c>
      <c r="AY21" s="130">
        <v>167</v>
      </c>
      <c r="AZ21" s="130">
        <v>114</v>
      </c>
      <c r="BA21" s="130">
        <v>34</v>
      </c>
      <c r="BB21" s="130">
        <v>24</v>
      </c>
      <c r="BC21" s="130">
        <v>1173</v>
      </c>
      <c r="BD21" s="130">
        <v>726</v>
      </c>
      <c r="BE21" s="130">
        <v>516</v>
      </c>
      <c r="BF21" s="130">
        <v>1319</v>
      </c>
      <c r="BG21" s="130">
        <v>242</v>
      </c>
      <c r="BH21" s="130">
        <v>65</v>
      </c>
      <c r="BI21" s="130">
        <v>25</v>
      </c>
      <c r="BJ21" s="130">
        <v>238</v>
      </c>
      <c r="BK21" s="130" t="s">
        <v>301</v>
      </c>
      <c r="BL21" s="130">
        <v>945</v>
      </c>
      <c r="BM21" s="130" t="s">
        <v>301</v>
      </c>
      <c r="BN21" s="130" t="s">
        <v>301</v>
      </c>
      <c r="BO21" s="130">
        <v>67299</v>
      </c>
      <c r="BP21" s="130">
        <v>19729</v>
      </c>
      <c r="BQ21" s="130">
        <v>395</v>
      </c>
      <c r="BR21" s="130" t="s">
        <v>301</v>
      </c>
      <c r="BS21" s="130" t="s">
        <v>301</v>
      </c>
      <c r="BT21" s="130" t="s">
        <v>301</v>
      </c>
      <c r="BU21" s="130">
        <v>942</v>
      </c>
      <c r="BV21" s="130" t="s">
        <v>301</v>
      </c>
      <c r="BW21" s="130">
        <v>36440</v>
      </c>
    </row>
    <row r="22" spans="1:75" x14ac:dyDescent="0.2">
      <c r="A22" s="130" t="s">
        <v>312</v>
      </c>
      <c r="B22" s="130">
        <v>52</v>
      </c>
      <c r="C22" s="130" t="s">
        <v>301</v>
      </c>
      <c r="D22" s="130" t="s">
        <v>301</v>
      </c>
      <c r="E22" s="130">
        <v>31</v>
      </c>
      <c r="F22" s="131">
        <v>169</v>
      </c>
      <c r="G22" s="130" t="s">
        <v>301</v>
      </c>
      <c r="H22" s="130" t="s">
        <v>301</v>
      </c>
      <c r="I22" s="130" t="s">
        <v>301</v>
      </c>
      <c r="J22" s="130" t="s">
        <v>301</v>
      </c>
      <c r="K22" s="130" t="s">
        <v>301</v>
      </c>
      <c r="L22" s="130">
        <v>32</v>
      </c>
      <c r="M22" s="133">
        <v>3077</v>
      </c>
      <c r="N22" s="130" t="s">
        <v>301</v>
      </c>
      <c r="O22" s="130" t="s">
        <v>301</v>
      </c>
      <c r="P22" s="130" t="s">
        <v>301</v>
      </c>
      <c r="Q22" s="130" t="s">
        <v>301</v>
      </c>
      <c r="R22" s="130">
        <v>2</v>
      </c>
      <c r="S22" s="130" t="s">
        <v>301</v>
      </c>
      <c r="T22" s="130" t="s">
        <v>301</v>
      </c>
      <c r="U22" s="130" t="s">
        <v>301</v>
      </c>
      <c r="V22" s="130" t="s">
        <v>301</v>
      </c>
      <c r="W22" s="130">
        <v>21</v>
      </c>
      <c r="X22" s="132" t="s">
        <v>301</v>
      </c>
      <c r="Y22" s="130">
        <v>17</v>
      </c>
      <c r="Z22" s="130">
        <v>1</v>
      </c>
      <c r="AA22" s="130" t="s">
        <v>301</v>
      </c>
      <c r="AB22" s="131">
        <v>12</v>
      </c>
      <c r="AC22" s="130" t="s">
        <v>301</v>
      </c>
      <c r="AD22" s="130" t="s">
        <v>301</v>
      </c>
      <c r="AE22" s="130" t="s">
        <v>301</v>
      </c>
      <c r="AF22" s="130" t="s">
        <v>301</v>
      </c>
      <c r="AG22" s="130" t="s">
        <v>301</v>
      </c>
      <c r="AH22" s="130" t="s">
        <v>301</v>
      </c>
      <c r="AI22" s="130" t="s">
        <v>301</v>
      </c>
      <c r="AJ22" s="130" t="s">
        <v>301</v>
      </c>
      <c r="AK22" s="130">
        <v>1</v>
      </c>
      <c r="AL22" s="130" t="s">
        <v>301</v>
      </c>
      <c r="AM22" s="130" t="s">
        <v>301</v>
      </c>
      <c r="AN22" s="130" t="s">
        <v>301</v>
      </c>
      <c r="AO22" s="130" t="s">
        <v>301</v>
      </c>
      <c r="AP22" s="130" t="s">
        <v>301</v>
      </c>
      <c r="AQ22" s="130" t="s">
        <v>301</v>
      </c>
      <c r="AR22" s="130" t="s">
        <v>301</v>
      </c>
      <c r="AS22" s="130" t="s">
        <v>301</v>
      </c>
      <c r="AT22" s="130">
        <v>32</v>
      </c>
      <c r="AU22" s="130" t="s">
        <v>301</v>
      </c>
      <c r="AV22" s="130" t="s">
        <v>301</v>
      </c>
      <c r="AW22" s="130" t="s">
        <v>301</v>
      </c>
      <c r="AX22" s="130" t="s">
        <v>301</v>
      </c>
      <c r="AY22" s="130">
        <v>3</v>
      </c>
      <c r="AZ22" s="130" t="s">
        <v>301</v>
      </c>
      <c r="BA22" s="130" t="s">
        <v>301</v>
      </c>
      <c r="BB22" s="130" t="s">
        <v>301</v>
      </c>
      <c r="BC22" s="130">
        <v>1</v>
      </c>
      <c r="BD22" s="130">
        <v>14488</v>
      </c>
      <c r="BE22" s="130">
        <v>119</v>
      </c>
      <c r="BF22" s="130">
        <v>4400</v>
      </c>
      <c r="BG22" s="130">
        <v>278</v>
      </c>
      <c r="BH22" s="130">
        <v>18</v>
      </c>
      <c r="BI22" s="130">
        <v>6</v>
      </c>
      <c r="BJ22" s="130">
        <v>66</v>
      </c>
      <c r="BK22" s="130" t="s">
        <v>301</v>
      </c>
      <c r="BL22" s="130">
        <v>22</v>
      </c>
      <c r="BM22" s="130" t="s">
        <v>301</v>
      </c>
      <c r="BN22" s="130" t="s">
        <v>301</v>
      </c>
      <c r="BO22" s="130">
        <v>22848</v>
      </c>
      <c r="BP22" s="130">
        <v>21439</v>
      </c>
      <c r="BQ22" s="130">
        <v>23</v>
      </c>
      <c r="BR22" s="130" t="s">
        <v>301</v>
      </c>
      <c r="BS22" s="130" t="s">
        <v>301</v>
      </c>
      <c r="BT22" s="130" t="s">
        <v>301</v>
      </c>
      <c r="BU22" s="130">
        <v>1273</v>
      </c>
      <c r="BV22" s="130" t="s">
        <v>301</v>
      </c>
      <c r="BW22" s="130">
        <v>12805</v>
      </c>
    </row>
    <row r="23" spans="1:75" x14ac:dyDescent="0.2">
      <c r="A23" s="130" t="s">
        <v>313</v>
      </c>
      <c r="B23" s="130">
        <v>1231</v>
      </c>
      <c r="C23" s="130">
        <v>544</v>
      </c>
      <c r="D23" s="130">
        <v>102</v>
      </c>
      <c r="E23" s="130">
        <v>897</v>
      </c>
      <c r="F23" s="131">
        <v>2981</v>
      </c>
      <c r="G23" s="130">
        <v>159</v>
      </c>
      <c r="H23" s="130">
        <v>662</v>
      </c>
      <c r="I23" s="130">
        <v>857</v>
      </c>
      <c r="J23" s="130">
        <v>343</v>
      </c>
      <c r="K23" s="130">
        <v>191</v>
      </c>
      <c r="L23" s="130">
        <v>855</v>
      </c>
      <c r="M23" s="130">
        <v>126</v>
      </c>
      <c r="N23" s="133">
        <v>2591</v>
      </c>
      <c r="O23" s="130">
        <v>424</v>
      </c>
      <c r="P23" s="130">
        <v>506</v>
      </c>
      <c r="Q23" s="130">
        <v>764</v>
      </c>
      <c r="R23" s="130">
        <v>262</v>
      </c>
      <c r="S23" s="130">
        <v>130</v>
      </c>
      <c r="T23" s="130">
        <v>354</v>
      </c>
      <c r="U23" s="130">
        <v>2278</v>
      </c>
      <c r="V23" s="130">
        <v>133</v>
      </c>
      <c r="W23" s="130">
        <v>1120</v>
      </c>
      <c r="X23" s="132" t="s">
        <v>301</v>
      </c>
      <c r="Y23" s="130">
        <v>232</v>
      </c>
      <c r="Z23" s="130">
        <v>10</v>
      </c>
      <c r="AA23" s="130">
        <v>13</v>
      </c>
      <c r="AB23" s="131">
        <v>11069</v>
      </c>
      <c r="AC23" s="130">
        <v>404</v>
      </c>
      <c r="AD23" s="130">
        <v>1157</v>
      </c>
      <c r="AE23" s="130">
        <v>471</v>
      </c>
      <c r="AF23" s="130">
        <v>924</v>
      </c>
      <c r="AG23" s="130">
        <v>24</v>
      </c>
      <c r="AH23" s="130">
        <v>70</v>
      </c>
      <c r="AI23" s="130">
        <v>730</v>
      </c>
      <c r="AJ23" s="130">
        <v>158</v>
      </c>
      <c r="AK23" s="130">
        <v>677</v>
      </c>
      <c r="AL23" s="130">
        <v>20</v>
      </c>
      <c r="AM23" s="130">
        <v>33</v>
      </c>
      <c r="AN23" s="130">
        <v>14</v>
      </c>
      <c r="AO23" s="130">
        <v>85</v>
      </c>
      <c r="AP23" s="130">
        <v>95</v>
      </c>
      <c r="AQ23" s="130">
        <v>12</v>
      </c>
      <c r="AR23" s="130">
        <v>21</v>
      </c>
      <c r="AS23" s="130" t="s">
        <v>301</v>
      </c>
      <c r="AT23" s="130">
        <v>132</v>
      </c>
      <c r="AU23" s="130">
        <v>125</v>
      </c>
      <c r="AV23" s="130">
        <v>94</v>
      </c>
      <c r="AW23" s="130">
        <v>21</v>
      </c>
      <c r="AX23" s="130">
        <v>19</v>
      </c>
      <c r="AY23" s="130">
        <v>57</v>
      </c>
      <c r="AZ23" s="130">
        <v>22</v>
      </c>
      <c r="BA23" s="130">
        <v>22</v>
      </c>
      <c r="BB23" s="130">
        <v>4</v>
      </c>
      <c r="BC23" s="130">
        <v>207</v>
      </c>
      <c r="BD23" s="130">
        <v>535</v>
      </c>
      <c r="BE23" s="130">
        <v>196</v>
      </c>
      <c r="BF23" s="130">
        <v>195</v>
      </c>
      <c r="BG23" s="130">
        <v>70</v>
      </c>
      <c r="BH23" s="130">
        <v>180</v>
      </c>
      <c r="BI23" s="130">
        <v>88</v>
      </c>
      <c r="BJ23" s="130">
        <v>75</v>
      </c>
      <c r="BK23" s="130" t="s">
        <v>301</v>
      </c>
      <c r="BL23" s="130">
        <v>178</v>
      </c>
      <c r="BM23" s="130" t="s">
        <v>301</v>
      </c>
      <c r="BN23" s="130" t="s">
        <v>301</v>
      </c>
      <c r="BO23" s="130">
        <v>35949</v>
      </c>
      <c r="BP23" s="130">
        <v>6935</v>
      </c>
      <c r="BQ23" s="130" t="s">
        <v>301</v>
      </c>
      <c r="BR23" s="130" t="s">
        <v>301</v>
      </c>
      <c r="BS23" s="130" t="s">
        <v>301</v>
      </c>
      <c r="BT23" s="130">
        <v>156</v>
      </c>
      <c r="BU23" s="130">
        <v>328</v>
      </c>
      <c r="BV23" s="130" t="s">
        <v>301</v>
      </c>
      <c r="BW23" s="130">
        <v>12368</v>
      </c>
    </row>
    <row r="24" spans="1:75" x14ac:dyDescent="0.2">
      <c r="A24" s="130" t="s">
        <v>314</v>
      </c>
      <c r="B24" s="130">
        <v>13</v>
      </c>
      <c r="C24" s="130">
        <v>3</v>
      </c>
      <c r="D24" s="130">
        <v>5</v>
      </c>
      <c r="E24" s="130">
        <v>494</v>
      </c>
      <c r="F24" s="131">
        <v>424</v>
      </c>
      <c r="G24" s="130">
        <v>12</v>
      </c>
      <c r="H24" s="130">
        <v>146</v>
      </c>
      <c r="I24" s="130">
        <v>76</v>
      </c>
      <c r="J24" s="130">
        <v>9</v>
      </c>
      <c r="K24" s="130">
        <v>1</v>
      </c>
      <c r="L24" s="130">
        <v>168</v>
      </c>
      <c r="M24" s="130">
        <v>22</v>
      </c>
      <c r="N24" s="130">
        <v>287</v>
      </c>
      <c r="O24" s="133">
        <v>4424</v>
      </c>
      <c r="P24" s="130">
        <v>515</v>
      </c>
      <c r="Q24" s="130">
        <v>375</v>
      </c>
      <c r="R24" s="130">
        <v>29</v>
      </c>
      <c r="S24" s="130">
        <v>73</v>
      </c>
      <c r="T24" s="130">
        <v>40</v>
      </c>
      <c r="U24" s="130">
        <v>1347</v>
      </c>
      <c r="V24" s="130">
        <v>186</v>
      </c>
      <c r="W24" s="130">
        <v>146</v>
      </c>
      <c r="X24" s="132" t="s">
        <v>301</v>
      </c>
      <c r="Y24" s="130">
        <v>2</v>
      </c>
      <c r="Z24" s="130" t="s">
        <v>301</v>
      </c>
      <c r="AA24" s="130">
        <v>5</v>
      </c>
      <c r="AB24" s="131">
        <v>21242</v>
      </c>
      <c r="AC24" s="130">
        <v>9</v>
      </c>
      <c r="AD24" s="130">
        <v>13</v>
      </c>
      <c r="AE24" s="130" t="s">
        <v>301</v>
      </c>
      <c r="AF24" s="130">
        <v>1</v>
      </c>
      <c r="AG24" s="130" t="s">
        <v>301</v>
      </c>
      <c r="AH24" s="130" t="s">
        <v>301</v>
      </c>
      <c r="AI24" s="130">
        <v>3</v>
      </c>
      <c r="AJ24" s="130" t="s">
        <v>301</v>
      </c>
      <c r="AK24" s="130">
        <v>116</v>
      </c>
      <c r="AL24" s="130">
        <v>2</v>
      </c>
      <c r="AM24" s="130">
        <v>6</v>
      </c>
      <c r="AN24" s="130">
        <v>7</v>
      </c>
      <c r="AO24" s="130">
        <v>8</v>
      </c>
      <c r="AP24" s="130">
        <v>6</v>
      </c>
      <c r="AQ24" s="130" t="s">
        <v>301</v>
      </c>
      <c r="AR24" s="130">
        <v>2</v>
      </c>
      <c r="AS24" s="130" t="s">
        <v>301</v>
      </c>
      <c r="AT24" s="130">
        <v>25</v>
      </c>
      <c r="AU24" s="130">
        <v>13</v>
      </c>
      <c r="AV24" s="130">
        <v>10</v>
      </c>
      <c r="AW24" s="130">
        <v>3</v>
      </c>
      <c r="AX24" s="130">
        <v>2</v>
      </c>
      <c r="AY24" s="130">
        <v>8</v>
      </c>
      <c r="AZ24" s="130">
        <v>12</v>
      </c>
      <c r="BA24" s="130">
        <v>4</v>
      </c>
      <c r="BB24" s="130">
        <v>1</v>
      </c>
      <c r="BC24" s="130">
        <v>22</v>
      </c>
      <c r="BD24" s="130">
        <v>61</v>
      </c>
      <c r="BE24" s="130">
        <v>21</v>
      </c>
      <c r="BF24" s="130">
        <v>53</v>
      </c>
      <c r="BG24" s="130">
        <v>19</v>
      </c>
      <c r="BH24" s="130">
        <v>4</v>
      </c>
      <c r="BI24" s="130">
        <v>3</v>
      </c>
      <c r="BJ24" s="130">
        <v>15</v>
      </c>
      <c r="BK24" s="130" t="s">
        <v>301</v>
      </c>
      <c r="BL24" s="130">
        <v>1</v>
      </c>
      <c r="BM24" s="130" t="s">
        <v>301</v>
      </c>
      <c r="BN24" s="130" t="s">
        <v>301</v>
      </c>
      <c r="BO24" s="130">
        <v>30494</v>
      </c>
      <c r="BP24" s="130">
        <v>3782</v>
      </c>
      <c r="BQ24" s="130" t="s">
        <v>301</v>
      </c>
      <c r="BR24" s="130" t="s">
        <v>301</v>
      </c>
      <c r="BS24" s="130" t="s">
        <v>301</v>
      </c>
      <c r="BT24" s="130" t="s">
        <v>301</v>
      </c>
      <c r="BU24" s="130">
        <v>128</v>
      </c>
      <c r="BV24" s="130" t="s">
        <v>301</v>
      </c>
      <c r="BW24" s="130">
        <v>5196</v>
      </c>
    </row>
    <row r="25" spans="1:75" x14ac:dyDescent="0.2">
      <c r="A25" s="130" t="s">
        <v>315</v>
      </c>
      <c r="B25" s="130">
        <v>218</v>
      </c>
      <c r="C25" s="130">
        <v>113</v>
      </c>
      <c r="D25" s="130">
        <v>9</v>
      </c>
      <c r="E25" s="130">
        <v>3767</v>
      </c>
      <c r="F25" s="131" t="s">
        <v>301</v>
      </c>
      <c r="G25" s="130">
        <v>21</v>
      </c>
      <c r="H25" s="130">
        <v>71</v>
      </c>
      <c r="I25" s="130">
        <v>118</v>
      </c>
      <c r="J25" s="130">
        <v>8</v>
      </c>
      <c r="K25" s="130" t="s">
        <v>301</v>
      </c>
      <c r="L25" s="130">
        <v>346</v>
      </c>
      <c r="M25" s="130" t="s">
        <v>301</v>
      </c>
      <c r="N25" s="130">
        <v>332</v>
      </c>
      <c r="O25" s="130">
        <v>224</v>
      </c>
      <c r="P25" s="133">
        <v>36557</v>
      </c>
      <c r="Q25" s="130">
        <v>9662</v>
      </c>
      <c r="R25" s="130">
        <v>108</v>
      </c>
      <c r="S25" s="130">
        <v>2321</v>
      </c>
      <c r="T25" s="130">
        <v>6100</v>
      </c>
      <c r="U25" s="130">
        <v>7932</v>
      </c>
      <c r="V25" s="130">
        <v>1569</v>
      </c>
      <c r="W25" s="130">
        <v>4210</v>
      </c>
      <c r="X25" s="132" t="s">
        <v>301</v>
      </c>
      <c r="Y25" s="130" t="s">
        <v>301</v>
      </c>
      <c r="Z25" s="130" t="s">
        <v>301</v>
      </c>
      <c r="AA25" s="130" t="s">
        <v>301</v>
      </c>
      <c r="AB25" s="131">
        <v>2998</v>
      </c>
      <c r="AC25" s="130" t="s">
        <v>301</v>
      </c>
      <c r="AD25" s="130">
        <v>47</v>
      </c>
      <c r="AE25" s="130" t="s">
        <v>301</v>
      </c>
      <c r="AF25" s="130">
        <v>17</v>
      </c>
      <c r="AG25" s="130">
        <v>9</v>
      </c>
      <c r="AH25" s="130" t="s">
        <v>301</v>
      </c>
      <c r="AI25" s="130">
        <v>103</v>
      </c>
      <c r="AJ25" s="130" t="s">
        <v>301</v>
      </c>
      <c r="AK25" s="130">
        <v>11</v>
      </c>
      <c r="AL25" s="130" t="s">
        <v>301</v>
      </c>
      <c r="AM25" s="130" t="s">
        <v>301</v>
      </c>
      <c r="AN25" s="130" t="s">
        <v>301</v>
      </c>
      <c r="AO25" s="130" t="s">
        <v>301</v>
      </c>
      <c r="AP25" s="130" t="s">
        <v>301</v>
      </c>
      <c r="AQ25" s="130" t="s">
        <v>301</v>
      </c>
      <c r="AR25" s="130" t="s">
        <v>301</v>
      </c>
      <c r="AS25" s="130" t="s">
        <v>301</v>
      </c>
      <c r="AT25" s="130" t="s">
        <v>301</v>
      </c>
      <c r="AU25" s="130" t="s">
        <v>301</v>
      </c>
      <c r="AV25" s="130" t="s">
        <v>301</v>
      </c>
      <c r="AW25" s="130" t="s">
        <v>301</v>
      </c>
      <c r="AX25" s="130" t="s">
        <v>301</v>
      </c>
      <c r="AY25" s="130" t="s">
        <v>301</v>
      </c>
      <c r="AZ25" s="130" t="s">
        <v>301</v>
      </c>
      <c r="BA25" s="130" t="s">
        <v>301</v>
      </c>
      <c r="BB25" s="130" t="s">
        <v>301</v>
      </c>
      <c r="BC25" s="130" t="s">
        <v>301</v>
      </c>
      <c r="BD25" s="130">
        <v>2</v>
      </c>
      <c r="BE25" s="130" t="s">
        <v>301</v>
      </c>
      <c r="BF25" s="130">
        <v>128</v>
      </c>
      <c r="BG25" s="130" t="s">
        <v>301</v>
      </c>
      <c r="BH25" s="130">
        <v>3</v>
      </c>
      <c r="BI25" s="130">
        <v>5</v>
      </c>
      <c r="BJ25" s="130" t="s">
        <v>301</v>
      </c>
      <c r="BK25" s="130" t="s">
        <v>301</v>
      </c>
      <c r="BL25" s="130" t="s">
        <v>301</v>
      </c>
      <c r="BM25" s="130" t="s">
        <v>301</v>
      </c>
      <c r="BN25" s="130" t="s">
        <v>301</v>
      </c>
      <c r="BO25" s="130">
        <v>77009</v>
      </c>
      <c r="BP25" s="130">
        <v>444</v>
      </c>
      <c r="BQ25" s="130" t="s">
        <v>301</v>
      </c>
      <c r="BR25" s="130" t="s">
        <v>301</v>
      </c>
      <c r="BS25" s="130" t="s">
        <v>301</v>
      </c>
      <c r="BT25" s="130">
        <v>-4340</v>
      </c>
      <c r="BU25" s="130">
        <v>2573</v>
      </c>
      <c r="BV25" s="130" t="s">
        <v>301</v>
      </c>
      <c r="BW25" s="130">
        <v>58891</v>
      </c>
    </row>
    <row r="26" spans="1:75" x14ac:dyDescent="0.2">
      <c r="A26" s="130" t="s">
        <v>316</v>
      </c>
      <c r="B26" s="130">
        <v>269</v>
      </c>
      <c r="C26" s="130">
        <v>110</v>
      </c>
      <c r="D26" s="130">
        <v>47</v>
      </c>
      <c r="E26" s="130">
        <v>902</v>
      </c>
      <c r="F26" s="131">
        <v>1357</v>
      </c>
      <c r="G26" s="130">
        <v>29</v>
      </c>
      <c r="H26" s="130">
        <v>468</v>
      </c>
      <c r="I26" s="130">
        <v>138</v>
      </c>
      <c r="J26" s="130">
        <v>24</v>
      </c>
      <c r="K26" s="130">
        <v>50</v>
      </c>
      <c r="L26" s="130">
        <v>182</v>
      </c>
      <c r="M26" s="130">
        <v>26</v>
      </c>
      <c r="N26" s="130">
        <v>398</v>
      </c>
      <c r="O26" s="130">
        <v>355</v>
      </c>
      <c r="P26" s="130">
        <v>544</v>
      </c>
      <c r="Q26" s="133">
        <v>4648</v>
      </c>
      <c r="R26" s="130">
        <v>443</v>
      </c>
      <c r="S26" s="130">
        <v>354</v>
      </c>
      <c r="T26" s="130">
        <v>1538</v>
      </c>
      <c r="U26" s="130">
        <v>2913</v>
      </c>
      <c r="V26" s="130">
        <v>1499</v>
      </c>
      <c r="W26" s="130">
        <v>899</v>
      </c>
      <c r="X26" s="132" t="s">
        <v>301</v>
      </c>
      <c r="Y26" s="130">
        <v>66</v>
      </c>
      <c r="Z26" s="130">
        <v>3</v>
      </c>
      <c r="AA26" s="130">
        <v>130</v>
      </c>
      <c r="AB26" s="131">
        <v>23174</v>
      </c>
      <c r="AC26" s="130">
        <v>146</v>
      </c>
      <c r="AD26" s="130">
        <v>308</v>
      </c>
      <c r="AE26" s="130">
        <v>44</v>
      </c>
      <c r="AF26" s="130">
        <v>144</v>
      </c>
      <c r="AG26" s="130">
        <v>15</v>
      </c>
      <c r="AH26" s="130">
        <v>31</v>
      </c>
      <c r="AI26" s="130">
        <v>262</v>
      </c>
      <c r="AJ26" s="130">
        <v>30</v>
      </c>
      <c r="AK26" s="130">
        <v>305</v>
      </c>
      <c r="AL26" s="130">
        <v>50</v>
      </c>
      <c r="AM26" s="130">
        <v>77</v>
      </c>
      <c r="AN26" s="130">
        <v>143</v>
      </c>
      <c r="AO26" s="130">
        <v>260</v>
      </c>
      <c r="AP26" s="130">
        <v>206</v>
      </c>
      <c r="AQ26" s="130">
        <v>17</v>
      </c>
      <c r="AR26" s="130">
        <v>63</v>
      </c>
      <c r="AS26" s="130" t="s">
        <v>301</v>
      </c>
      <c r="AT26" s="130">
        <v>804</v>
      </c>
      <c r="AU26" s="130">
        <v>394</v>
      </c>
      <c r="AV26" s="130">
        <v>141</v>
      </c>
      <c r="AW26" s="130">
        <v>51</v>
      </c>
      <c r="AX26" s="130">
        <v>80</v>
      </c>
      <c r="AY26" s="130">
        <v>154</v>
      </c>
      <c r="AZ26" s="130">
        <v>359</v>
      </c>
      <c r="BA26" s="130">
        <v>128</v>
      </c>
      <c r="BB26" s="130">
        <v>32</v>
      </c>
      <c r="BC26" s="130">
        <v>767</v>
      </c>
      <c r="BD26" s="130">
        <v>740</v>
      </c>
      <c r="BE26" s="130">
        <v>334</v>
      </c>
      <c r="BF26" s="130">
        <v>525</v>
      </c>
      <c r="BG26" s="130">
        <v>315</v>
      </c>
      <c r="BH26" s="130">
        <v>58</v>
      </c>
      <c r="BI26" s="130">
        <v>31</v>
      </c>
      <c r="BJ26" s="130">
        <v>304</v>
      </c>
      <c r="BK26" s="130" t="s">
        <v>301</v>
      </c>
      <c r="BL26" s="130">
        <v>18</v>
      </c>
      <c r="BM26" s="130" t="s">
        <v>301</v>
      </c>
      <c r="BN26" s="130" t="s">
        <v>301</v>
      </c>
      <c r="BO26" s="130">
        <v>47902</v>
      </c>
      <c r="BP26" s="130">
        <v>5004</v>
      </c>
      <c r="BQ26" s="130" t="s">
        <v>301</v>
      </c>
      <c r="BR26" s="130" t="s">
        <v>301</v>
      </c>
      <c r="BS26" s="130" t="s">
        <v>301</v>
      </c>
      <c r="BT26" s="130">
        <v>1475</v>
      </c>
      <c r="BU26" s="130">
        <v>1165</v>
      </c>
      <c r="BV26" s="130" t="s">
        <v>301</v>
      </c>
      <c r="BW26" s="130">
        <v>9402</v>
      </c>
    </row>
    <row r="27" spans="1:75" x14ac:dyDescent="0.2">
      <c r="A27" s="130" t="s">
        <v>317</v>
      </c>
      <c r="B27" s="130">
        <v>54</v>
      </c>
      <c r="C27" s="130">
        <v>22</v>
      </c>
      <c r="D27" s="130">
        <v>38</v>
      </c>
      <c r="E27" s="130">
        <v>1154</v>
      </c>
      <c r="F27" s="131">
        <v>60</v>
      </c>
      <c r="G27" s="130">
        <v>5</v>
      </c>
      <c r="H27" s="130">
        <v>20</v>
      </c>
      <c r="I27" s="130">
        <v>13</v>
      </c>
      <c r="J27" s="130">
        <v>72</v>
      </c>
      <c r="K27" s="130">
        <v>14</v>
      </c>
      <c r="L27" s="130">
        <v>29</v>
      </c>
      <c r="M27" s="130">
        <v>9</v>
      </c>
      <c r="N27" s="130">
        <v>32</v>
      </c>
      <c r="O27" s="130">
        <v>13</v>
      </c>
      <c r="P27" s="130">
        <v>24</v>
      </c>
      <c r="Q27" s="130">
        <v>66</v>
      </c>
      <c r="R27" s="133">
        <v>4865</v>
      </c>
      <c r="S27" s="130">
        <v>864</v>
      </c>
      <c r="T27" s="130">
        <v>1195</v>
      </c>
      <c r="U27" s="130">
        <v>3136</v>
      </c>
      <c r="V27" s="130">
        <v>374</v>
      </c>
      <c r="W27" s="130">
        <v>191</v>
      </c>
      <c r="X27" s="132" t="s">
        <v>301</v>
      </c>
      <c r="Y27" s="130">
        <v>49</v>
      </c>
      <c r="Z27" s="130">
        <v>3</v>
      </c>
      <c r="AA27" s="130">
        <v>65</v>
      </c>
      <c r="AB27" s="131">
        <v>4743</v>
      </c>
      <c r="AC27" s="130">
        <v>48</v>
      </c>
      <c r="AD27" s="130">
        <v>152</v>
      </c>
      <c r="AE27" s="130">
        <v>95</v>
      </c>
      <c r="AF27" s="130">
        <v>205</v>
      </c>
      <c r="AG27" s="130">
        <v>33</v>
      </c>
      <c r="AH27" s="130">
        <v>9</v>
      </c>
      <c r="AI27" s="130">
        <v>139</v>
      </c>
      <c r="AJ27" s="130">
        <v>32</v>
      </c>
      <c r="AK27" s="130">
        <v>55</v>
      </c>
      <c r="AL27" s="130">
        <v>432</v>
      </c>
      <c r="AM27" s="130">
        <v>513</v>
      </c>
      <c r="AN27" s="130">
        <v>5753</v>
      </c>
      <c r="AO27" s="130">
        <v>1014</v>
      </c>
      <c r="AP27" s="130">
        <v>72</v>
      </c>
      <c r="AQ27" s="130">
        <v>61</v>
      </c>
      <c r="AR27" s="130">
        <v>37</v>
      </c>
      <c r="AS27" s="130" t="s">
        <v>301</v>
      </c>
      <c r="AT27" s="130">
        <v>68</v>
      </c>
      <c r="AU27" s="130">
        <v>193</v>
      </c>
      <c r="AV27" s="130">
        <v>492</v>
      </c>
      <c r="AW27" s="130">
        <v>92</v>
      </c>
      <c r="AX27" s="130">
        <v>7</v>
      </c>
      <c r="AY27" s="130">
        <v>241</v>
      </c>
      <c r="AZ27" s="130">
        <v>68</v>
      </c>
      <c r="BA27" s="130">
        <v>5</v>
      </c>
      <c r="BB27" s="130">
        <v>7</v>
      </c>
      <c r="BC27" s="130">
        <v>213</v>
      </c>
      <c r="BD27" s="130">
        <v>971</v>
      </c>
      <c r="BE27" s="130">
        <v>844</v>
      </c>
      <c r="BF27" s="130">
        <v>2248</v>
      </c>
      <c r="BG27" s="130">
        <v>649</v>
      </c>
      <c r="BH27" s="130">
        <v>94</v>
      </c>
      <c r="BI27" s="130">
        <v>38</v>
      </c>
      <c r="BJ27" s="130">
        <v>84</v>
      </c>
      <c r="BK27" s="130" t="s">
        <v>301</v>
      </c>
      <c r="BL27" s="130">
        <v>15</v>
      </c>
      <c r="BM27" s="130" t="s">
        <v>301</v>
      </c>
      <c r="BN27" s="130" t="s">
        <v>301</v>
      </c>
      <c r="BO27" s="130">
        <v>32089</v>
      </c>
      <c r="BP27" s="130">
        <v>15034</v>
      </c>
      <c r="BQ27" s="130" t="s">
        <v>301</v>
      </c>
      <c r="BR27" s="130" t="s">
        <v>301</v>
      </c>
      <c r="BS27" s="130" t="s">
        <v>301</v>
      </c>
      <c r="BT27" s="130">
        <v>22975</v>
      </c>
      <c r="BU27" s="130">
        <v>1279</v>
      </c>
      <c r="BV27" s="130" t="s">
        <v>301</v>
      </c>
      <c r="BW27" s="130">
        <v>21117</v>
      </c>
    </row>
    <row r="28" spans="1:75" x14ac:dyDescent="0.2">
      <c r="A28" s="130" t="s">
        <v>318</v>
      </c>
      <c r="B28" s="130">
        <v>332</v>
      </c>
      <c r="C28" s="130">
        <v>185</v>
      </c>
      <c r="D28" s="130">
        <v>44</v>
      </c>
      <c r="E28" s="130">
        <v>648</v>
      </c>
      <c r="F28" s="131">
        <v>306</v>
      </c>
      <c r="G28" s="130">
        <v>13</v>
      </c>
      <c r="H28" s="130">
        <v>220</v>
      </c>
      <c r="I28" s="130">
        <v>152</v>
      </c>
      <c r="J28" s="130">
        <v>33</v>
      </c>
      <c r="K28" s="130">
        <v>69</v>
      </c>
      <c r="L28" s="130">
        <v>92</v>
      </c>
      <c r="M28" s="130">
        <v>18</v>
      </c>
      <c r="N28" s="130">
        <v>72</v>
      </c>
      <c r="O28" s="130">
        <v>95</v>
      </c>
      <c r="P28" s="130">
        <v>604</v>
      </c>
      <c r="Q28" s="130">
        <v>342</v>
      </c>
      <c r="R28" s="130">
        <v>533</v>
      </c>
      <c r="S28" s="133">
        <v>1737</v>
      </c>
      <c r="T28" s="130">
        <v>418</v>
      </c>
      <c r="U28" s="130">
        <v>1527</v>
      </c>
      <c r="V28" s="130">
        <v>512</v>
      </c>
      <c r="W28" s="130">
        <v>101</v>
      </c>
      <c r="X28" s="132" t="s">
        <v>301</v>
      </c>
      <c r="Y28" s="130">
        <v>200</v>
      </c>
      <c r="Z28" s="130">
        <v>4</v>
      </c>
      <c r="AA28" s="130">
        <v>96</v>
      </c>
      <c r="AB28" s="131">
        <v>10545</v>
      </c>
      <c r="AC28" s="130">
        <v>196</v>
      </c>
      <c r="AD28" s="130">
        <v>411</v>
      </c>
      <c r="AE28" s="130">
        <v>198</v>
      </c>
      <c r="AF28" s="130">
        <v>305</v>
      </c>
      <c r="AG28" s="130">
        <v>56</v>
      </c>
      <c r="AH28" s="130">
        <v>14</v>
      </c>
      <c r="AI28" s="130">
        <v>248</v>
      </c>
      <c r="AJ28" s="130">
        <v>39</v>
      </c>
      <c r="AK28" s="130">
        <v>136</v>
      </c>
      <c r="AL28" s="130">
        <v>73</v>
      </c>
      <c r="AM28" s="130">
        <v>70</v>
      </c>
      <c r="AN28" s="130">
        <v>422</v>
      </c>
      <c r="AO28" s="130">
        <v>370</v>
      </c>
      <c r="AP28" s="130">
        <v>167</v>
      </c>
      <c r="AQ28" s="130">
        <v>12</v>
      </c>
      <c r="AR28" s="130">
        <v>54</v>
      </c>
      <c r="AS28" s="130" t="s">
        <v>301</v>
      </c>
      <c r="AT28" s="130">
        <v>665</v>
      </c>
      <c r="AU28" s="130">
        <v>297</v>
      </c>
      <c r="AV28" s="130">
        <v>104</v>
      </c>
      <c r="AW28" s="130">
        <v>39</v>
      </c>
      <c r="AX28" s="130">
        <v>61</v>
      </c>
      <c r="AY28" s="130">
        <v>116</v>
      </c>
      <c r="AZ28" s="130">
        <v>269</v>
      </c>
      <c r="BA28" s="130">
        <v>93</v>
      </c>
      <c r="BB28" s="130">
        <v>30</v>
      </c>
      <c r="BC28" s="130">
        <v>786</v>
      </c>
      <c r="BD28" s="130">
        <v>160</v>
      </c>
      <c r="BE28" s="130">
        <v>462</v>
      </c>
      <c r="BF28" s="130">
        <v>646</v>
      </c>
      <c r="BG28" s="130">
        <v>455</v>
      </c>
      <c r="BH28" s="130">
        <v>88</v>
      </c>
      <c r="BI28" s="130">
        <v>43</v>
      </c>
      <c r="BJ28" s="130">
        <v>428</v>
      </c>
      <c r="BK28" s="130" t="s">
        <v>301</v>
      </c>
      <c r="BL28" s="130">
        <v>25</v>
      </c>
      <c r="BM28" s="130" t="s">
        <v>301</v>
      </c>
      <c r="BN28" s="130" t="s">
        <v>301</v>
      </c>
      <c r="BO28" s="130">
        <v>26436</v>
      </c>
      <c r="BP28" s="130">
        <v>13768</v>
      </c>
      <c r="BQ28" s="130">
        <v>2</v>
      </c>
      <c r="BR28" s="130" t="s">
        <v>301</v>
      </c>
      <c r="BS28" s="130" t="s">
        <v>301</v>
      </c>
      <c r="BT28" s="130">
        <v>2216</v>
      </c>
      <c r="BU28" s="130">
        <v>396</v>
      </c>
      <c r="BV28" s="130" t="s">
        <v>301</v>
      </c>
      <c r="BW28" s="130">
        <v>8469</v>
      </c>
    </row>
    <row r="29" spans="1:75" x14ac:dyDescent="0.2">
      <c r="A29" s="130" t="s">
        <v>319</v>
      </c>
      <c r="B29" s="130">
        <v>638</v>
      </c>
      <c r="C29" s="130">
        <v>357</v>
      </c>
      <c r="D29" s="130">
        <v>130</v>
      </c>
      <c r="E29" s="130">
        <v>9992</v>
      </c>
      <c r="F29" s="131">
        <v>939</v>
      </c>
      <c r="G29" s="130">
        <v>33</v>
      </c>
      <c r="H29" s="130">
        <v>539</v>
      </c>
      <c r="I29" s="130">
        <v>457</v>
      </c>
      <c r="J29" s="130">
        <v>122</v>
      </c>
      <c r="K29" s="130">
        <v>220</v>
      </c>
      <c r="L29" s="130">
        <v>289</v>
      </c>
      <c r="M29" s="130">
        <v>37</v>
      </c>
      <c r="N29" s="130">
        <v>303</v>
      </c>
      <c r="O29" s="130">
        <v>296</v>
      </c>
      <c r="P29" s="130">
        <v>797</v>
      </c>
      <c r="Q29" s="130">
        <v>1347</v>
      </c>
      <c r="R29" s="130">
        <v>159</v>
      </c>
      <c r="S29" s="130">
        <v>140</v>
      </c>
      <c r="T29" s="133">
        <v>8926</v>
      </c>
      <c r="U29" s="130">
        <v>1482</v>
      </c>
      <c r="V29" s="130">
        <v>1255</v>
      </c>
      <c r="W29" s="130">
        <v>338</v>
      </c>
      <c r="X29" s="132" t="s">
        <v>301</v>
      </c>
      <c r="Y29" s="130">
        <v>436</v>
      </c>
      <c r="Z29" s="130">
        <v>14</v>
      </c>
      <c r="AA29" s="130">
        <v>146</v>
      </c>
      <c r="AB29" s="131">
        <v>13550</v>
      </c>
      <c r="AC29" s="130">
        <v>403</v>
      </c>
      <c r="AD29" s="130">
        <v>199</v>
      </c>
      <c r="AE29" s="130">
        <v>67</v>
      </c>
      <c r="AF29" s="130">
        <v>153</v>
      </c>
      <c r="AG29" s="130">
        <v>42</v>
      </c>
      <c r="AH29" s="130">
        <v>20</v>
      </c>
      <c r="AI29" s="130">
        <v>442</v>
      </c>
      <c r="AJ29" s="130">
        <v>84</v>
      </c>
      <c r="AK29" s="130">
        <v>560</v>
      </c>
      <c r="AL29" s="130">
        <v>52</v>
      </c>
      <c r="AM29" s="130">
        <v>733</v>
      </c>
      <c r="AN29" s="130">
        <v>144</v>
      </c>
      <c r="AO29" s="130">
        <v>264</v>
      </c>
      <c r="AP29" s="130">
        <v>209</v>
      </c>
      <c r="AQ29" s="130">
        <v>15</v>
      </c>
      <c r="AR29" s="130">
        <v>57</v>
      </c>
      <c r="AS29" s="130" t="s">
        <v>301</v>
      </c>
      <c r="AT29" s="130">
        <v>834</v>
      </c>
      <c r="AU29" s="130">
        <v>412</v>
      </c>
      <c r="AV29" s="130">
        <v>131</v>
      </c>
      <c r="AW29" s="130">
        <v>50</v>
      </c>
      <c r="AX29" s="130">
        <v>82</v>
      </c>
      <c r="AY29" s="130">
        <v>155</v>
      </c>
      <c r="AZ29" s="130">
        <v>388</v>
      </c>
      <c r="BA29" s="130">
        <v>136</v>
      </c>
      <c r="BB29" s="130">
        <v>34</v>
      </c>
      <c r="BC29" s="130">
        <v>921</v>
      </c>
      <c r="BD29" s="130">
        <v>923</v>
      </c>
      <c r="BE29" s="130">
        <v>336</v>
      </c>
      <c r="BF29" s="130">
        <v>632</v>
      </c>
      <c r="BG29" s="130">
        <v>357</v>
      </c>
      <c r="BH29" s="130">
        <v>396</v>
      </c>
      <c r="BI29" s="130">
        <v>215</v>
      </c>
      <c r="BJ29" s="130">
        <v>371</v>
      </c>
      <c r="BK29" s="130" t="s">
        <v>301</v>
      </c>
      <c r="BL29" s="130">
        <v>49</v>
      </c>
      <c r="BM29" s="130" t="s">
        <v>301</v>
      </c>
      <c r="BN29" s="130" t="s">
        <v>301</v>
      </c>
      <c r="BO29" s="130">
        <v>52808</v>
      </c>
      <c r="BP29" s="130">
        <v>5205</v>
      </c>
      <c r="BQ29" s="130" t="s">
        <v>301</v>
      </c>
      <c r="BR29" s="130" t="s">
        <v>301</v>
      </c>
      <c r="BS29" s="130" t="s">
        <v>301</v>
      </c>
      <c r="BT29" s="130">
        <v>41484</v>
      </c>
      <c r="BU29" s="130">
        <v>3249</v>
      </c>
      <c r="BV29" s="130" t="s">
        <v>301</v>
      </c>
      <c r="BW29" s="130">
        <v>37649</v>
      </c>
    </row>
    <row r="30" spans="1:75" x14ac:dyDescent="0.2">
      <c r="A30" s="130" t="s">
        <v>320</v>
      </c>
      <c r="B30" s="130">
        <v>307</v>
      </c>
      <c r="C30" s="130">
        <v>182</v>
      </c>
      <c r="D30" s="130">
        <v>32</v>
      </c>
      <c r="E30" s="130">
        <v>796</v>
      </c>
      <c r="F30" s="131">
        <v>113</v>
      </c>
      <c r="G30" s="130">
        <v>7</v>
      </c>
      <c r="H30" s="130">
        <v>50</v>
      </c>
      <c r="I30" s="130">
        <v>57</v>
      </c>
      <c r="J30" s="130">
        <v>17</v>
      </c>
      <c r="K30" s="130">
        <v>28</v>
      </c>
      <c r="L30" s="130">
        <v>37</v>
      </c>
      <c r="M30" s="130">
        <v>6</v>
      </c>
      <c r="N30" s="130">
        <v>494</v>
      </c>
      <c r="O30" s="130">
        <v>43</v>
      </c>
      <c r="P30" s="130">
        <v>81</v>
      </c>
      <c r="Q30" s="130">
        <v>394</v>
      </c>
      <c r="R30" s="130">
        <v>24</v>
      </c>
      <c r="S30" s="130">
        <v>8</v>
      </c>
      <c r="T30" s="130">
        <v>179</v>
      </c>
      <c r="U30" s="133">
        <v>52177</v>
      </c>
      <c r="V30" s="130">
        <v>1238</v>
      </c>
      <c r="W30" s="130">
        <v>28</v>
      </c>
      <c r="X30" s="132" t="s">
        <v>301</v>
      </c>
      <c r="Y30" s="130">
        <v>87</v>
      </c>
      <c r="Z30" s="130">
        <v>4</v>
      </c>
      <c r="AA30" s="130" t="s">
        <v>301</v>
      </c>
      <c r="AB30" s="131">
        <v>257</v>
      </c>
      <c r="AC30" s="130">
        <v>1179</v>
      </c>
      <c r="AD30" s="130">
        <v>688</v>
      </c>
      <c r="AE30" s="130">
        <v>389</v>
      </c>
      <c r="AF30" s="130">
        <v>3105</v>
      </c>
      <c r="AG30" s="130">
        <v>37</v>
      </c>
      <c r="AH30" s="130">
        <v>106</v>
      </c>
      <c r="AI30" s="130">
        <v>2159</v>
      </c>
      <c r="AJ30" s="130">
        <v>428</v>
      </c>
      <c r="AK30" s="130" t="s">
        <v>301</v>
      </c>
      <c r="AL30" s="130" t="s">
        <v>301</v>
      </c>
      <c r="AM30" s="130" t="s">
        <v>301</v>
      </c>
      <c r="AN30" s="130">
        <v>6</v>
      </c>
      <c r="AO30" s="130" t="s">
        <v>301</v>
      </c>
      <c r="AP30" s="130" t="s">
        <v>301</v>
      </c>
      <c r="AQ30" s="130" t="s">
        <v>301</v>
      </c>
      <c r="AR30" s="130" t="s">
        <v>301</v>
      </c>
      <c r="AS30" s="130" t="s">
        <v>301</v>
      </c>
      <c r="AT30" s="130" t="s">
        <v>301</v>
      </c>
      <c r="AU30" s="130" t="s">
        <v>301</v>
      </c>
      <c r="AV30" s="130" t="s">
        <v>301</v>
      </c>
      <c r="AW30" s="130" t="s">
        <v>301</v>
      </c>
      <c r="AX30" s="130" t="s">
        <v>301</v>
      </c>
      <c r="AY30" s="130" t="s">
        <v>301</v>
      </c>
      <c r="AZ30" s="130" t="s">
        <v>301</v>
      </c>
      <c r="BA30" s="130" t="s">
        <v>301</v>
      </c>
      <c r="BB30" s="130" t="s">
        <v>301</v>
      </c>
      <c r="BC30" s="130" t="s">
        <v>301</v>
      </c>
      <c r="BD30" s="130">
        <v>1308</v>
      </c>
      <c r="BE30" s="130" t="s">
        <v>301</v>
      </c>
      <c r="BF30" s="130" t="s">
        <v>301</v>
      </c>
      <c r="BG30" s="130" t="s">
        <v>301</v>
      </c>
      <c r="BH30" s="130" t="s">
        <v>301</v>
      </c>
      <c r="BI30" s="130" t="s">
        <v>301</v>
      </c>
      <c r="BJ30" s="130">
        <v>89</v>
      </c>
      <c r="BK30" s="130" t="s">
        <v>301</v>
      </c>
      <c r="BL30" s="130">
        <v>137</v>
      </c>
      <c r="BM30" s="130" t="s">
        <v>301</v>
      </c>
      <c r="BN30" s="130" t="s">
        <v>301</v>
      </c>
      <c r="BO30" s="130">
        <v>66277</v>
      </c>
      <c r="BP30" s="130">
        <v>98268</v>
      </c>
      <c r="BQ30" s="130">
        <v>25</v>
      </c>
      <c r="BR30" s="130" t="s">
        <v>301</v>
      </c>
      <c r="BS30" s="130" t="s">
        <v>301</v>
      </c>
      <c r="BT30" s="130">
        <v>11861</v>
      </c>
      <c r="BU30" s="130">
        <v>2414</v>
      </c>
      <c r="BV30" s="130" t="s">
        <v>301</v>
      </c>
      <c r="BW30" s="130">
        <v>91243</v>
      </c>
    </row>
    <row r="31" spans="1:75" x14ac:dyDescent="0.2">
      <c r="A31" s="130" t="s">
        <v>321</v>
      </c>
      <c r="B31" s="130" t="s">
        <v>301</v>
      </c>
      <c r="C31" s="130">
        <v>1</v>
      </c>
      <c r="D31" s="130" t="s">
        <v>301</v>
      </c>
      <c r="E31" s="130">
        <v>71</v>
      </c>
      <c r="F31" s="131" t="s">
        <v>301</v>
      </c>
      <c r="G31" s="130" t="s">
        <v>301</v>
      </c>
      <c r="H31" s="130" t="s">
        <v>301</v>
      </c>
      <c r="I31" s="130" t="s">
        <v>301</v>
      </c>
      <c r="J31" s="130" t="s">
        <v>301</v>
      </c>
      <c r="K31" s="130" t="s">
        <v>301</v>
      </c>
      <c r="L31" s="130" t="s">
        <v>301</v>
      </c>
      <c r="M31" s="130" t="s">
        <v>301</v>
      </c>
      <c r="N31" s="130" t="s">
        <v>301</v>
      </c>
      <c r="O31" s="130" t="s">
        <v>301</v>
      </c>
      <c r="P31" s="130" t="s">
        <v>301</v>
      </c>
      <c r="Q31" s="130" t="s">
        <v>301</v>
      </c>
      <c r="R31" s="130">
        <v>30</v>
      </c>
      <c r="S31" s="130" t="s">
        <v>301</v>
      </c>
      <c r="T31" s="130">
        <v>84</v>
      </c>
      <c r="U31" s="130">
        <v>40</v>
      </c>
      <c r="V31" s="133">
        <v>11460</v>
      </c>
      <c r="W31" s="130" t="s">
        <v>301</v>
      </c>
      <c r="X31" s="132" t="s">
        <v>301</v>
      </c>
      <c r="Y31" s="130" t="s">
        <v>301</v>
      </c>
      <c r="Z31" s="130" t="s">
        <v>301</v>
      </c>
      <c r="AA31" s="130" t="s">
        <v>301</v>
      </c>
      <c r="AB31" s="131">
        <v>2</v>
      </c>
      <c r="AC31" s="130">
        <v>367</v>
      </c>
      <c r="AD31" s="130">
        <v>198</v>
      </c>
      <c r="AE31" s="130">
        <v>125</v>
      </c>
      <c r="AF31" s="130">
        <v>361</v>
      </c>
      <c r="AG31" s="130">
        <v>15</v>
      </c>
      <c r="AH31" s="130">
        <v>1516</v>
      </c>
      <c r="AI31" s="130">
        <v>1077</v>
      </c>
      <c r="AJ31" s="130">
        <v>121</v>
      </c>
      <c r="AK31" s="130">
        <v>401</v>
      </c>
      <c r="AL31" s="130" t="s">
        <v>301</v>
      </c>
      <c r="AM31" s="130" t="s">
        <v>301</v>
      </c>
      <c r="AN31" s="130">
        <v>2</v>
      </c>
      <c r="AO31" s="130" t="s">
        <v>301</v>
      </c>
      <c r="AP31" s="130" t="s">
        <v>301</v>
      </c>
      <c r="AQ31" s="130" t="s">
        <v>301</v>
      </c>
      <c r="AR31" s="130" t="s">
        <v>301</v>
      </c>
      <c r="AS31" s="130" t="s">
        <v>301</v>
      </c>
      <c r="AT31" s="130" t="s">
        <v>301</v>
      </c>
      <c r="AU31" s="130" t="s">
        <v>301</v>
      </c>
      <c r="AV31" s="130" t="s">
        <v>301</v>
      </c>
      <c r="AW31" s="130" t="s">
        <v>301</v>
      </c>
      <c r="AX31" s="130" t="s">
        <v>301</v>
      </c>
      <c r="AY31" s="130" t="s">
        <v>301</v>
      </c>
      <c r="AZ31" s="130" t="s">
        <v>301</v>
      </c>
      <c r="BA31" s="130" t="s">
        <v>301</v>
      </c>
      <c r="BB31" s="130" t="s">
        <v>301</v>
      </c>
      <c r="BC31" s="130" t="s">
        <v>301</v>
      </c>
      <c r="BD31" s="130">
        <v>444</v>
      </c>
      <c r="BE31" s="130" t="s">
        <v>301</v>
      </c>
      <c r="BF31" s="130" t="s">
        <v>301</v>
      </c>
      <c r="BG31" s="130" t="s">
        <v>301</v>
      </c>
      <c r="BH31" s="130">
        <v>309</v>
      </c>
      <c r="BI31" s="130">
        <v>168</v>
      </c>
      <c r="BJ31" s="130" t="s">
        <v>301</v>
      </c>
      <c r="BK31" s="130" t="s">
        <v>301</v>
      </c>
      <c r="BL31" s="130">
        <v>41</v>
      </c>
      <c r="BM31" s="130" t="s">
        <v>301</v>
      </c>
      <c r="BN31" s="130" t="s">
        <v>301</v>
      </c>
      <c r="BO31" s="130">
        <v>16833</v>
      </c>
      <c r="BP31" s="130">
        <v>6434</v>
      </c>
      <c r="BQ31" s="130" t="s">
        <v>301</v>
      </c>
      <c r="BR31" s="130" t="s">
        <v>301</v>
      </c>
      <c r="BS31" s="130" t="s">
        <v>301</v>
      </c>
      <c r="BT31" s="130">
        <v>9874</v>
      </c>
      <c r="BU31" s="130">
        <v>1191</v>
      </c>
      <c r="BV31" s="130" t="s">
        <v>301</v>
      </c>
      <c r="BW31" s="130">
        <v>27982</v>
      </c>
    </row>
    <row r="32" spans="1:75" x14ac:dyDescent="0.2">
      <c r="A32" s="130" t="s">
        <v>322</v>
      </c>
      <c r="B32" s="130">
        <v>31</v>
      </c>
      <c r="C32" s="130">
        <v>8</v>
      </c>
      <c r="D32" s="130">
        <v>42</v>
      </c>
      <c r="E32" s="130">
        <v>45</v>
      </c>
      <c r="F32" s="131">
        <v>137</v>
      </c>
      <c r="G32" s="130">
        <v>78</v>
      </c>
      <c r="H32" s="130">
        <v>33</v>
      </c>
      <c r="I32" s="130">
        <v>51</v>
      </c>
      <c r="J32" s="130">
        <v>139</v>
      </c>
      <c r="K32" s="130">
        <v>5</v>
      </c>
      <c r="L32" s="130">
        <v>150</v>
      </c>
      <c r="M32" s="130">
        <v>3</v>
      </c>
      <c r="N32" s="130">
        <v>334</v>
      </c>
      <c r="O32" s="130">
        <v>86</v>
      </c>
      <c r="P32" s="130">
        <v>33</v>
      </c>
      <c r="Q32" s="130">
        <v>181</v>
      </c>
      <c r="R32" s="130">
        <v>54</v>
      </c>
      <c r="S32" s="130">
        <v>8</v>
      </c>
      <c r="T32" s="130">
        <v>119</v>
      </c>
      <c r="U32" s="130">
        <v>252</v>
      </c>
      <c r="V32" s="130">
        <v>95</v>
      </c>
      <c r="W32" s="133">
        <v>2491</v>
      </c>
      <c r="X32" s="132" t="s">
        <v>301</v>
      </c>
      <c r="Y32" s="130">
        <v>13</v>
      </c>
      <c r="Z32" s="130">
        <v>1</v>
      </c>
      <c r="AA32" s="130">
        <v>23</v>
      </c>
      <c r="AB32" s="131">
        <v>5100</v>
      </c>
      <c r="AC32" s="130">
        <v>40</v>
      </c>
      <c r="AD32" s="130">
        <v>66</v>
      </c>
      <c r="AE32" s="130">
        <v>47</v>
      </c>
      <c r="AF32" s="130">
        <v>17</v>
      </c>
      <c r="AG32" s="130">
        <v>2</v>
      </c>
      <c r="AH32" s="130">
        <v>5</v>
      </c>
      <c r="AI32" s="130">
        <v>41</v>
      </c>
      <c r="AJ32" s="130">
        <v>15</v>
      </c>
      <c r="AK32" s="130">
        <v>98</v>
      </c>
      <c r="AL32" s="130">
        <v>21</v>
      </c>
      <c r="AM32" s="130">
        <v>267</v>
      </c>
      <c r="AN32" s="130">
        <v>19</v>
      </c>
      <c r="AO32" s="130">
        <v>63</v>
      </c>
      <c r="AP32" s="130">
        <v>49</v>
      </c>
      <c r="AQ32" s="130">
        <v>6</v>
      </c>
      <c r="AR32" s="130">
        <v>22</v>
      </c>
      <c r="AS32" s="130" t="s">
        <v>301</v>
      </c>
      <c r="AT32" s="130">
        <v>148</v>
      </c>
      <c r="AU32" s="130">
        <v>82</v>
      </c>
      <c r="AV32" s="130">
        <v>50</v>
      </c>
      <c r="AW32" s="130">
        <v>13</v>
      </c>
      <c r="AX32" s="130">
        <v>55</v>
      </c>
      <c r="AY32" s="130">
        <v>44</v>
      </c>
      <c r="AZ32" s="130">
        <v>51</v>
      </c>
      <c r="BA32" s="130">
        <v>17</v>
      </c>
      <c r="BB32" s="130">
        <v>7</v>
      </c>
      <c r="BC32" s="130">
        <v>114</v>
      </c>
      <c r="BD32" s="130">
        <v>2312</v>
      </c>
      <c r="BE32" s="130">
        <v>258</v>
      </c>
      <c r="BF32" s="130">
        <v>6766</v>
      </c>
      <c r="BG32" s="130">
        <v>364</v>
      </c>
      <c r="BH32" s="130">
        <v>413</v>
      </c>
      <c r="BI32" s="130">
        <v>260</v>
      </c>
      <c r="BJ32" s="130">
        <v>222</v>
      </c>
      <c r="BK32" s="130" t="s">
        <v>301</v>
      </c>
      <c r="BL32" s="130">
        <v>651</v>
      </c>
      <c r="BM32" s="130" t="s">
        <v>301</v>
      </c>
      <c r="BN32" s="130" t="s">
        <v>301</v>
      </c>
      <c r="BO32" s="130">
        <v>22117</v>
      </c>
      <c r="BP32" s="130">
        <v>39839</v>
      </c>
      <c r="BQ32" s="130">
        <v>1598</v>
      </c>
      <c r="BR32" s="130" t="s">
        <v>301</v>
      </c>
      <c r="BS32" s="130" t="s">
        <v>301</v>
      </c>
      <c r="BT32" s="130">
        <v>8543</v>
      </c>
      <c r="BU32" s="130">
        <v>1494</v>
      </c>
      <c r="BV32" s="130" t="s">
        <v>301</v>
      </c>
      <c r="BW32" s="130">
        <v>12333</v>
      </c>
    </row>
    <row r="33" spans="1:76" x14ac:dyDescent="0.2">
      <c r="A33" s="130" t="s">
        <v>323</v>
      </c>
      <c r="B33" s="130" t="s">
        <v>301</v>
      </c>
      <c r="C33" s="130">
        <v>34</v>
      </c>
      <c r="D33" s="130" t="s">
        <v>301</v>
      </c>
      <c r="E33" s="130" t="s">
        <v>301</v>
      </c>
      <c r="F33" s="131">
        <v>331</v>
      </c>
      <c r="G33" s="130">
        <v>95</v>
      </c>
      <c r="H33" s="130">
        <v>216</v>
      </c>
      <c r="I33" s="130">
        <v>175</v>
      </c>
      <c r="J33" s="130">
        <v>202</v>
      </c>
      <c r="K33" s="130">
        <v>46</v>
      </c>
      <c r="L33" s="130">
        <v>203</v>
      </c>
      <c r="M33" s="130">
        <v>60</v>
      </c>
      <c r="N33" s="130">
        <v>146</v>
      </c>
      <c r="O33" s="130">
        <v>231</v>
      </c>
      <c r="P33" s="130">
        <v>298</v>
      </c>
      <c r="Q33" s="130">
        <v>699</v>
      </c>
      <c r="R33" s="130">
        <v>71</v>
      </c>
      <c r="S33" s="130">
        <v>32</v>
      </c>
      <c r="T33" s="130">
        <v>304</v>
      </c>
      <c r="U33" s="130">
        <v>115</v>
      </c>
      <c r="V33" s="130">
        <v>456</v>
      </c>
      <c r="W33" s="130">
        <v>320</v>
      </c>
      <c r="X33" s="132" t="s">
        <v>301</v>
      </c>
      <c r="Y33" s="130">
        <v>11</v>
      </c>
      <c r="Z33" s="130" t="s">
        <v>301</v>
      </c>
      <c r="AA33" s="130" t="s">
        <v>301</v>
      </c>
      <c r="AB33" s="131">
        <v>174</v>
      </c>
      <c r="AC33" s="130" t="s">
        <v>301</v>
      </c>
      <c r="AD33" s="130">
        <v>17</v>
      </c>
      <c r="AE33" s="130" t="s">
        <v>301</v>
      </c>
      <c r="AF33" s="130" t="s">
        <v>301</v>
      </c>
      <c r="AG33" s="130" t="s">
        <v>301</v>
      </c>
      <c r="AH33" s="130">
        <v>467</v>
      </c>
      <c r="AI33" s="130" t="s">
        <v>301</v>
      </c>
      <c r="AJ33" s="130" t="s">
        <v>301</v>
      </c>
      <c r="AK33" s="130">
        <v>17</v>
      </c>
      <c r="AL33" s="130" t="s">
        <v>301</v>
      </c>
      <c r="AM33" s="130" t="s">
        <v>301</v>
      </c>
      <c r="AN33" s="130" t="s">
        <v>301</v>
      </c>
      <c r="AO33" s="130" t="s">
        <v>301</v>
      </c>
      <c r="AP33" s="130" t="s">
        <v>301</v>
      </c>
      <c r="AQ33" s="130" t="s">
        <v>301</v>
      </c>
      <c r="AR33" s="130" t="s">
        <v>301</v>
      </c>
      <c r="AS33" s="130" t="s">
        <v>301</v>
      </c>
      <c r="AT33" s="130" t="s">
        <v>301</v>
      </c>
      <c r="AU33" s="130" t="s">
        <v>301</v>
      </c>
      <c r="AV33" s="130" t="s">
        <v>301</v>
      </c>
      <c r="AW33" s="130" t="s">
        <v>301</v>
      </c>
      <c r="AX33" s="130" t="s">
        <v>301</v>
      </c>
      <c r="AY33" s="130" t="s">
        <v>301</v>
      </c>
      <c r="AZ33" s="130" t="s">
        <v>301</v>
      </c>
      <c r="BA33" s="130" t="s">
        <v>301</v>
      </c>
      <c r="BB33" s="130" t="s">
        <v>301</v>
      </c>
      <c r="BC33" s="130" t="s">
        <v>301</v>
      </c>
      <c r="BD33" s="130">
        <v>696</v>
      </c>
      <c r="BE33" s="130" t="s">
        <v>301</v>
      </c>
      <c r="BF33" s="130" t="s">
        <v>301</v>
      </c>
      <c r="BG33" s="130" t="s">
        <v>301</v>
      </c>
      <c r="BH33" s="130" t="s">
        <v>301</v>
      </c>
      <c r="BI33" s="130" t="s">
        <v>301</v>
      </c>
      <c r="BJ33" s="130" t="s">
        <v>301</v>
      </c>
      <c r="BK33" s="130" t="s">
        <v>301</v>
      </c>
      <c r="BL33" s="130" t="s">
        <v>301</v>
      </c>
      <c r="BM33" s="130" t="s">
        <v>301</v>
      </c>
      <c r="BN33" s="130" t="s">
        <v>301</v>
      </c>
      <c r="BO33" s="130">
        <v>5416</v>
      </c>
      <c r="BP33" s="130">
        <v>419</v>
      </c>
      <c r="BQ33" s="130" t="s">
        <v>301</v>
      </c>
      <c r="BR33" s="130" t="s">
        <v>301</v>
      </c>
      <c r="BS33" s="130" t="s">
        <v>301</v>
      </c>
      <c r="BT33" s="130" t="s">
        <v>301</v>
      </c>
      <c r="BU33" s="130" t="s">
        <v>301</v>
      </c>
      <c r="BV33" s="130" t="s">
        <v>301</v>
      </c>
      <c r="BW33" s="130">
        <v>2777</v>
      </c>
      <c r="BX33" s="130"/>
    </row>
    <row r="34" spans="1:76" x14ac:dyDescent="0.2">
      <c r="A34" s="130" t="s">
        <v>324</v>
      </c>
      <c r="B34" s="130">
        <v>2780</v>
      </c>
      <c r="C34" s="130">
        <v>43</v>
      </c>
      <c r="D34" s="130">
        <v>3</v>
      </c>
      <c r="E34" s="130">
        <v>2859</v>
      </c>
      <c r="F34" s="131">
        <v>1085</v>
      </c>
      <c r="G34" s="130">
        <v>64</v>
      </c>
      <c r="H34" s="130">
        <v>612</v>
      </c>
      <c r="I34" s="130">
        <v>1576</v>
      </c>
      <c r="J34" s="130">
        <v>110</v>
      </c>
      <c r="K34" s="130">
        <v>454</v>
      </c>
      <c r="L34" s="130">
        <v>1208</v>
      </c>
      <c r="M34" s="130">
        <v>105</v>
      </c>
      <c r="N34" s="130">
        <v>567</v>
      </c>
      <c r="O34" s="130">
        <v>403</v>
      </c>
      <c r="P34" s="130">
        <v>1688</v>
      </c>
      <c r="Q34" s="130">
        <v>385</v>
      </c>
      <c r="R34" s="130">
        <v>76</v>
      </c>
      <c r="S34" s="130">
        <v>64</v>
      </c>
      <c r="T34" s="130">
        <v>240</v>
      </c>
      <c r="U34" s="130">
        <v>499</v>
      </c>
      <c r="V34" s="130">
        <v>116</v>
      </c>
      <c r="W34" s="130">
        <v>189</v>
      </c>
      <c r="X34" s="132" t="s">
        <v>301</v>
      </c>
      <c r="Y34" s="133">
        <v>73</v>
      </c>
      <c r="Z34" s="130">
        <v>5</v>
      </c>
      <c r="AA34" s="130">
        <v>29</v>
      </c>
      <c r="AB34" s="131">
        <v>210</v>
      </c>
      <c r="AC34" s="130">
        <v>554</v>
      </c>
      <c r="AD34" s="130">
        <v>491</v>
      </c>
      <c r="AE34" s="130">
        <v>1131</v>
      </c>
      <c r="AF34" s="130">
        <v>655</v>
      </c>
      <c r="AG34" s="130">
        <v>2</v>
      </c>
      <c r="AH34" s="130">
        <v>28</v>
      </c>
      <c r="AI34" s="130">
        <v>205</v>
      </c>
      <c r="AJ34" s="130">
        <v>70</v>
      </c>
      <c r="AK34" s="130">
        <v>892</v>
      </c>
      <c r="AL34" s="130">
        <v>59</v>
      </c>
      <c r="AM34" s="130">
        <v>100</v>
      </c>
      <c r="AN34" s="130">
        <v>221</v>
      </c>
      <c r="AO34" s="130">
        <v>73</v>
      </c>
      <c r="AP34" s="130">
        <v>556</v>
      </c>
      <c r="AQ34" s="130">
        <v>15</v>
      </c>
      <c r="AR34" s="130">
        <v>209</v>
      </c>
      <c r="AS34" s="130" t="s">
        <v>301</v>
      </c>
      <c r="AT34" s="130">
        <v>1710</v>
      </c>
      <c r="AU34" s="130">
        <v>182</v>
      </c>
      <c r="AV34" s="130">
        <v>49</v>
      </c>
      <c r="AW34" s="130">
        <v>6</v>
      </c>
      <c r="AX34" s="130">
        <v>21</v>
      </c>
      <c r="AY34" s="130">
        <v>55</v>
      </c>
      <c r="AZ34" s="130">
        <v>149</v>
      </c>
      <c r="BA34" s="130">
        <v>22</v>
      </c>
      <c r="BB34" s="130">
        <v>22</v>
      </c>
      <c r="BC34" s="130">
        <v>110</v>
      </c>
      <c r="BD34" s="130">
        <v>2463</v>
      </c>
      <c r="BE34" s="130">
        <v>1033</v>
      </c>
      <c r="BF34" s="130">
        <v>1160</v>
      </c>
      <c r="BG34" s="130">
        <v>303</v>
      </c>
      <c r="BH34" s="130">
        <v>188</v>
      </c>
      <c r="BI34" s="130">
        <v>178</v>
      </c>
      <c r="BJ34" s="130">
        <v>594</v>
      </c>
      <c r="BK34" s="130" t="s">
        <v>301</v>
      </c>
      <c r="BL34" s="130">
        <v>183</v>
      </c>
      <c r="BM34" s="130" t="s">
        <v>301</v>
      </c>
      <c r="BN34" s="130" t="s">
        <v>301</v>
      </c>
      <c r="BO34" s="130">
        <v>29132</v>
      </c>
      <c r="BP34" s="130">
        <v>19194</v>
      </c>
      <c r="BQ34" s="130">
        <v>33</v>
      </c>
      <c r="BR34" s="130" t="s">
        <v>301</v>
      </c>
      <c r="BS34" s="130" t="s">
        <v>301</v>
      </c>
      <c r="BT34" s="130" t="s">
        <v>301</v>
      </c>
      <c r="BU34" s="130" t="s">
        <v>301</v>
      </c>
      <c r="BV34" s="130" t="s">
        <v>301</v>
      </c>
      <c r="BW34" s="130">
        <v>2941</v>
      </c>
      <c r="BX34" s="130"/>
    </row>
    <row r="35" spans="1:76" x14ac:dyDescent="0.2">
      <c r="A35" s="130" t="s">
        <v>325</v>
      </c>
      <c r="B35" s="130">
        <v>46</v>
      </c>
      <c r="C35" s="130">
        <v>2</v>
      </c>
      <c r="D35" s="130" t="s">
        <v>301</v>
      </c>
      <c r="E35" s="130">
        <v>28</v>
      </c>
      <c r="F35" s="131">
        <v>266</v>
      </c>
      <c r="G35" s="130">
        <v>6</v>
      </c>
      <c r="H35" s="130">
        <v>8</v>
      </c>
      <c r="I35" s="130">
        <v>37</v>
      </c>
      <c r="J35" s="130">
        <v>5</v>
      </c>
      <c r="K35" s="130">
        <v>20</v>
      </c>
      <c r="L35" s="130">
        <v>138</v>
      </c>
      <c r="M35" s="130">
        <v>14</v>
      </c>
      <c r="N35" s="130">
        <v>22</v>
      </c>
      <c r="O35" s="130">
        <v>23</v>
      </c>
      <c r="P35" s="130">
        <v>25</v>
      </c>
      <c r="Q35" s="130">
        <v>25</v>
      </c>
      <c r="R35" s="130">
        <v>6</v>
      </c>
      <c r="S35" s="130">
        <v>2</v>
      </c>
      <c r="T35" s="130">
        <v>14</v>
      </c>
      <c r="U35" s="130">
        <v>31</v>
      </c>
      <c r="V35" s="130">
        <v>8</v>
      </c>
      <c r="W35" s="130">
        <v>11</v>
      </c>
      <c r="X35" s="132" t="s">
        <v>301</v>
      </c>
      <c r="Y35" s="130">
        <v>3</v>
      </c>
      <c r="Z35" s="133" t="s">
        <v>301</v>
      </c>
      <c r="AA35" s="130">
        <v>109</v>
      </c>
      <c r="AB35" s="131">
        <v>28</v>
      </c>
      <c r="AC35" s="130">
        <v>80</v>
      </c>
      <c r="AD35" s="130">
        <v>182</v>
      </c>
      <c r="AE35" s="130">
        <v>130</v>
      </c>
      <c r="AF35" s="130">
        <v>84</v>
      </c>
      <c r="AG35" s="130">
        <v>6</v>
      </c>
      <c r="AH35" s="130">
        <v>6</v>
      </c>
      <c r="AI35" s="130">
        <v>124</v>
      </c>
      <c r="AJ35" s="130">
        <v>1</v>
      </c>
      <c r="AK35" s="130">
        <v>206</v>
      </c>
      <c r="AL35" s="130">
        <v>3</v>
      </c>
      <c r="AM35" s="130">
        <v>9</v>
      </c>
      <c r="AN35" s="130">
        <v>50</v>
      </c>
      <c r="AO35" s="130">
        <v>8</v>
      </c>
      <c r="AP35" s="130">
        <v>190</v>
      </c>
      <c r="AQ35" s="130">
        <v>1</v>
      </c>
      <c r="AR35" s="130">
        <v>79</v>
      </c>
      <c r="AS35" s="130" t="s">
        <v>301</v>
      </c>
      <c r="AT35" s="130">
        <v>636</v>
      </c>
      <c r="AU35" s="130">
        <v>4</v>
      </c>
      <c r="AV35" s="130">
        <v>22</v>
      </c>
      <c r="AW35" s="130">
        <v>1</v>
      </c>
      <c r="AX35" s="130" t="s">
        <v>301</v>
      </c>
      <c r="AY35" s="130">
        <v>5</v>
      </c>
      <c r="AZ35" s="130">
        <v>22</v>
      </c>
      <c r="BA35" s="130">
        <v>1</v>
      </c>
      <c r="BB35" s="130">
        <v>2</v>
      </c>
      <c r="BC35" s="130">
        <v>8</v>
      </c>
      <c r="BD35" s="130">
        <v>292</v>
      </c>
      <c r="BE35" s="130">
        <v>182</v>
      </c>
      <c r="BF35" s="130">
        <v>268</v>
      </c>
      <c r="BG35" s="130">
        <v>210</v>
      </c>
      <c r="BH35" s="130">
        <v>34</v>
      </c>
      <c r="BI35" s="130">
        <v>12</v>
      </c>
      <c r="BJ35" s="130">
        <v>380</v>
      </c>
      <c r="BK35" s="130" t="s">
        <v>301</v>
      </c>
      <c r="BL35" s="130">
        <v>22</v>
      </c>
      <c r="BM35" s="130" t="s">
        <v>301</v>
      </c>
      <c r="BN35" s="130" t="s">
        <v>301</v>
      </c>
      <c r="BO35" s="130">
        <v>4137</v>
      </c>
      <c r="BP35" s="130">
        <v>4432</v>
      </c>
      <c r="BQ35" s="130" t="s">
        <v>301</v>
      </c>
      <c r="BR35" s="130" t="s">
        <v>301</v>
      </c>
      <c r="BS35" s="130" t="s">
        <v>301</v>
      </c>
      <c r="BT35" s="130" t="s">
        <v>301</v>
      </c>
      <c r="BU35" s="130" t="s">
        <v>301</v>
      </c>
      <c r="BV35" s="130" t="s">
        <v>301</v>
      </c>
      <c r="BW35" s="130">
        <v>2</v>
      </c>
      <c r="BX35" s="130"/>
    </row>
    <row r="36" spans="1:76" x14ac:dyDescent="0.2">
      <c r="A36" s="130" t="s">
        <v>326</v>
      </c>
      <c r="B36" s="130" t="s">
        <v>301</v>
      </c>
      <c r="C36" s="130" t="s">
        <v>301</v>
      </c>
      <c r="D36" s="130" t="s">
        <v>301</v>
      </c>
      <c r="E36" s="130">
        <v>1077</v>
      </c>
      <c r="F36" s="131">
        <v>172</v>
      </c>
      <c r="G36" s="130">
        <v>17</v>
      </c>
      <c r="H36" s="130">
        <v>32</v>
      </c>
      <c r="I36" s="130">
        <v>166</v>
      </c>
      <c r="J36" s="130">
        <v>29</v>
      </c>
      <c r="K36" s="130">
        <v>74</v>
      </c>
      <c r="L36" s="130">
        <v>410</v>
      </c>
      <c r="M36" s="130">
        <v>6</v>
      </c>
      <c r="N36" s="130">
        <v>117</v>
      </c>
      <c r="O36" s="130">
        <v>52</v>
      </c>
      <c r="P36" s="130">
        <v>122</v>
      </c>
      <c r="Q36" s="130">
        <v>150</v>
      </c>
      <c r="R36" s="130">
        <v>12</v>
      </c>
      <c r="S36" s="130">
        <v>44</v>
      </c>
      <c r="T36" s="130">
        <v>52</v>
      </c>
      <c r="U36" s="130">
        <v>59</v>
      </c>
      <c r="V36" s="130">
        <v>100</v>
      </c>
      <c r="W36" s="130">
        <v>62</v>
      </c>
      <c r="X36" s="132" t="s">
        <v>301</v>
      </c>
      <c r="Y36" s="130">
        <v>23</v>
      </c>
      <c r="Z36" s="130">
        <v>3</v>
      </c>
      <c r="AA36" s="133" t="s">
        <v>301</v>
      </c>
      <c r="AB36" s="131">
        <v>311</v>
      </c>
      <c r="AC36" s="130">
        <v>411</v>
      </c>
      <c r="AD36" s="130">
        <v>1165</v>
      </c>
      <c r="AE36" s="130">
        <v>1149</v>
      </c>
      <c r="AF36" s="130">
        <v>262</v>
      </c>
      <c r="AG36" s="130">
        <v>6</v>
      </c>
      <c r="AH36" s="130">
        <v>89</v>
      </c>
      <c r="AI36" s="130">
        <v>180</v>
      </c>
      <c r="AJ36" s="130">
        <v>40</v>
      </c>
      <c r="AK36" s="130">
        <v>501</v>
      </c>
      <c r="AL36" s="130">
        <v>14</v>
      </c>
      <c r="AM36" s="130">
        <v>36</v>
      </c>
      <c r="AN36" s="130">
        <v>25</v>
      </c>
      <c r="AO36" s="130">
        <v>131</v>
      </c>
      <c r="AP36" s="130">
        <v>384</v>
      </c>
      <c r="AQ36" s="130">
        <v>4</v>
      </c>
      <c r="AR36" s="130">
        <v>192</v>
      </c>
      <c r="AS36" s="130" t="s">
        <v>301</v>
      </c>
      <c r="AT36" s="130">
        <v>1515</v>
      </c>
      <c r="AU36" s="130">
        <v>45</v>
      </c>
      <c r="AV36" s="130">
        <v>94</v>
      </c>
      <c r="AW36" s="130">
        <v>8</v>
      </c>
      <c r="AX36" s="130">
        <v>13</v>
      </c>
      <c r="AY36" s="130">
        <v>81</v>
      </c>
      <c r="AZ36" s="130">
        <v>35</v>
      </c>
      <c r="BA36" s="130">
        <v>13</v>
      </c>
      <c r="BB36" s="130">
        <v>4</v>
      </c>
      <c r="BC36" s="130">
        <v>113</v>
      </c>
      <c r="BD36" s="130">
        <v>4314</v>
      </c>
      <c r="BE36" s="130">
        <v>484</v>
      </c>
      <c r="BF36" s="130">
        <v>647</v>
      </c>
      <c r="BG36" s="130">
        <v>204</v>
      </c>
      <c r="BH36" s="130">
        <v>76</v>
      </c>
      <c r="BI36" s="130">
        <v>93</v>
      </c>
      <c r="BJ36" s="130">
        <v>319</v>
      </c>
      <c r="BK36" s="130" t="s">
        <v>301</v>
      </c>
      <c r="BL36" s="130">
        <v>159</v>
      </c>
      <c r="BM36" s="130" t="s">
        <v>301</v>
      </c>
      <c r="BN36" s="130" t="s">
        <v>301</v>
      </c>
      <c r="BO36" s="130">
        <v>15896</v>
      </c>
      <c r="BP36" s="130">
        <v>4222</v>
      </c>
      <c r="BQ36" s="130" t="s">
        <v>301</v>
      </c>
      <c r="BR36" s="130" t="s">
        <v>301</v>
      </c>
      <c r="BS36" s="130" t="s">
        <v>301</v>
      </c>
      <c r="BT36" s="130" t="s">
        <v>301</v>
      </c>
      <c r="BU36" s="130" t="s">
        <v>301</v>
      </c>
      <c r="BV36" s="130" t="s">
        <v>301</v>
      </c>
      <c r="BW36" s="130">
        <v>118</v>
      </c>
      <c r="BX36" s="130"/>
    </row>
    <row r="37" spans="1:76" x14ac:dyDescent="0.2">
      <c r="A37" s="131" t="s">
        <v>173</v>
      </c>
      <c r="B37" s="131">
        <v>1054</v>
      </c>
      <c r="C37" s="131">
        <v>88</v>
      </c>
      <c r="D37" s="131">
        <v>3</v>
      </c>
      <c r="E37" s="131">
        <v>2690</v>
      </c>
      <c r="F37" s="131">
        <v>196</v>
      </c>
      <c r="G37" s="131">
        <v>15</v>
      </c>
      <c r="H37" s="131">
        <v>26</v>
      </c>
      <c r="I37" s="131">
        <v>179</v>
      </c>
      <c r="J37" s="131">
        <v>17</v>
      </c>
      <c r="K37" s="131">
        <v>70</v>
      </c>
      <c r="L37" s="131">
        <v>352</v>
      </c>
      <c r="M37" s="131">
        <v>53</v>
      </c>
      <c r="N37" s="131">
        <v>71</v>
      </c>
      <c r="O37" s="131">
        <v>56</v>
      </c>
      <c r="P37" s="131">
        <v>156</v>
      </c>
      <c r="Q37" s="131">
        <v>87</v>
      </c>
      <c r="R37" s="131">
        <v>28</v>
      </c>
      <c r="S37" s="131">
        <v>37</v>
      </c>
      <c r="T37" s="131">
        <v>161</v>
      </c>
      <c r="U37" s="131">
        <v>46</v>
      </c>
      <c r="V37" s="131">
        <v>162</v>
      </c>
      <c r="W37" s="131">
        <v>62</v>
      </c>
      <c r="X37" s="132" t="s">
        <v>301</v>
      </c>
      <c r="Y37" s="131">
        <v>2428</v>
      </c>
      <c r="Z37" s="131">
        <v>67</v>
      </c>
      <c r="AA37" s="131">
        <v>220</v>
      </c>
      <c r="AB37" s="131">
        <v>130</v>
      </c>
      <c r="AC37" s="131">
        <v>249</v>
      </c>
      <c r="AD37" s="131">
        <v>496</v>
      </c>
      <c r="AE37" s="131">
        <v>1028</v>
      </c>
      <c r="AF37" s="131">
        <v>2458</v>
      </c>
      <c r="AG37" s="131">
        <v>147</v>
      </c>
      <c r="AH37" s="131">
        <v>16</v>
      </c>
      <c r="AI37" s="131">
        <v>2125</v>
      </c>
      <c r="AJ37" s="131">
        <v>23</v>
      </c>
      <c r="AK37" s="131">
        <v>655</v>
      </c>
      <c r="AL37" s="131">
        <v>15</v>
      </c>
      <c r="AM37" s="131">
        <v>11</v>
      </c>
      <c r="AN37" s="131">
        <v>254</v>
      </c>
      <c r="AO37" s="131">
        <v>158</v>
      </c>
      <c r="AP37" s="131">
        <v>708</v>
      </c>
      <c r="AQ37" s="131">
        <v>60</v>
      </c>
      <c r="AR37" s="131">
        <v>70</v>
      </c>
      <c r="AS37" s="131">
        <v>12070</v>
      </c>
      <c r="AT37" s="131">
        <v>10135</v>
      </c>
      <c r="AU37" s="131">
        <v>109</v>
      </c>
      <c r="AV37" s="131">
        <v>86</v>
      </c>
      <c r="AW37" s="131">
        <v>45</v>
      </c>
      <c r="AX37" s="131">
        <v>16</v>
      </c>
      <c r="AY37" s="131">
        <v>21</v>
      </c>
      <c r="AZ37" s="131">
        <v>104</v>
      </c>
      <c r="BA37" s="131">
        <v>32</v>
      </c>
      <c r="BB37" s="131">
        <v>13</v>
      </c>
      <c r="BC37" s="131">
        <v>141</v>
      </c>
      <c r="BD37" s="131">
        <v>5649</v>
      </c>
      <c r="BE37" s="131">
        <v>1919</v>
      </c>
      <c r="BF37" s="131">
        <v>900</v>
      </c>
      <c r="BG37" s="131">
        <v>310</v>
      </c>
      <c r="BH37" s="131">
        <v>250</v>
      </c>
      <c r="BI37" s="131">
        <v>89</v>
      </c>
      <c r="BJ37" s="131">
        <v>149</v>
      </c>
      <c r="BK37" s="131" t="s">
        <v>301</v>
      </c>
      <c r="BL37" s="131">
        <v>57</v>
      </c>
      <c r="BM37" s="131" t="s">
        <v>301</v>
      </c>
      <c r="BN37" s="131" t="s">
        <v>301</v>
      </c>
      <c r="BO37" s="131">
        <v>49022</v>
      </c>
      <c r="BP37" s="131">
        <v>510</v>
      </c>
      <c r="BQ37" s="131" t="s">
        <v>301</v>
      </c>
      <c r="BR37" s="131" t="s">
        <v>301</v>
      </c>
      <c r="BS37" s="131" t="s">
        <v>301</v>
      </c>
      <c r="BT37" s="131">
        <v>316461</v>
      </c>
      <c r="BU37" s="131" t="s">
        <v>301</v>
      </c>
      <c r="BV37" s="131" t="s">
        <v>301</v>
      </c>
      <c r="BW37" s="131" t="s">
        <v>301</v>
      </c>
      <c r="BX37" s="131">
        <v>0.13394245245127639</v>
      </c>
    </row>
    <row r="38" spans="1:76" x14ac:dyDescent="0.2">
      <c r="A38" s="130" t="s">
        <v>327</v>
      </c>
      <c r="B38" s="130">
        <v>51</v>
      </c>
      <c r="C38" s="130">
        <v>71</v>
      </c>
      <c r="D38" s="130">
        <v>7</v>
      </c>
      <c r="E38" s="130">
        <v>50</v>
      </c>
      <c r="F38" s="131">
        <v>21</v>
      </c>
      <c r="G38" s="130">
        <v>1</v>
      </c>
      <c r="H38" s="130">
        <v>16</v>
      </c>
      <c r="I38" s="130">
        <v>13</v>
      </c>
      <c r="J38" s="130">
        <v>2</v>
      </c>
      <c r="K38" s="130">
        <v>6</v>
      </c>
      <c r="L38" s="130">
        <v>10</v>
      </c>
      <c r="M38" s="130">
        <v>1</v>
      </c>
      <c r="N38" s="130">
        <v>6</v>
      </c>
      <c r="O38" s="130">
        <v>8</v>
      </c>
      <c r="P38" s="130">
        <v>12</v>
      </c>
      <c r="Q38" s="130">
        <v>10</v>
      </c>
      <c r="R38" s="130">
        <v>2</v>
      </c>
      <c r="S38" s="130">
        <v>1</v>
      </c>
      <c r="T38" s="130">
        <v>6</v>
      </c>
      <c r="U38" s="130">
        <v>4</v>
      </c>
      <c r="V38" s="130">
        <v>2</v>
      </c>
      <c r="W38" s="130">
        <v>4</v>
      </c>
      <c r="X38" s="132" t="s">
        <v>301</v>
      </c>
      <c r="Y38" s="130">
        <v>21</v>
      </c>
      <c r="Z38" s="130" t="s">
        <v>301</v>
      </c>
      <c r="AA38" s="130">
        <v>1160</v>
      </c>
      <c r="AB38" s="131">
        <v>13</v>
      </c>
      <c r="AC38" s="130">
        <v>13</v>
      </c>
      <c r="AD38" s="130">
        <v>5</v>
      </c>
      <c r="AE38" s="130">
        <v>2</v>
      </c>
      <c r="AF38" s="130">
        <v>1204</v>
      </c>
      <c r="AG38" s="130" t="s">
        <v>301</v>
      </c>
      <c r="AH38" s="130">
        <v>1</v>
      </c>
      <c r="AI38" s="130">
        <v>232</v>
      </c>
      <c r="AJ38" s="130">
        <v>300</v>
      </c>
      <c r="AK38" s="130">
        <v>238</v>
      </c>
      <c r="AL38" s="130">
        <v>154</v>
      </c>
      <c r="AM38" s="130">
        <v>17</v>
      </c>
      <c r="AN38" s="130">
        <v>41</v>
      </c>
      <c r="AO38" s="130">
        <v>386</v>
      </c>
      <c r="AP38" s="130">
        <v>445</v>
      </c>
      <c r="AQ38" s="130">
        <v>31</v>
      </c>
      <c r="AR38" s="130">
        <v>150</v>
      </c>
      <c r="AS38" s="130" t="s">
        <v>301</v>
      </c>
      <c r="AT38" s="130">
        <v>305</v>
      </c>
      <c r="AU38" s="130">
        <v>228</v>
      </c>
      <c r="AV38" s="130">
        <v>137</v>
      </c>
      <c r="AW38" s="130">
        <v>24</v>
      </c>
      <c r="AX38" s="130">
        <v>54</v>
      </c>
      <c r="AY38" s="130">
        <v>127</v>
      </c>
      <c r="AZ38" s="130">
        <v>751</v>
      </c>
      <c r="BA38" s="130">
        <v>235</v>
      </c>
      <c r="BB38" s="130">
        <v>63</v>
      </c>
      <c r="BC38" s="130">
        <v>898</v>
      </c>
      <c r="BD38" s="130">
        <v>674</v>
      </c>
      <c r="BE38" s="130">
        <v>150</v>
      </c>
      <c r="BF38" s="130">
        <v>361</v>
      </c>
      <c r="BG38" s="130">
        <v>218</v>
      </c>
      <c r="BH38" s="130">
        <v>194</v>
      </c>
      <c r="BI38" s="130">
        <v>222</v>
      </c>
      <c r="BJ38" s="130">
        <v>352</v>
      </c>
      <c r="BK38" s="130" t="s">
        <v>301</v>
      </c>
      <c r="BL38" s="130">
        <v>273</v>
      </c>
      <c r="BM38" s="130" t="s">
        <v>301</v>
      </c>
      <c r="BN38" s="130" t="s">
        <v>301</v>
      </c>
      <c r="BO38" s="130">
        <v>9983</v>
      </c>
      <c r="BP38" s="130">
        <v>10785</v>
      </c>
      <c r="BQ38" s="130">
        <v>68</v>
      </c>
      <c r="BR38" s="130" t="s">
        <v>301</v>
      </c>
      <c r="BS38" s="130" t="s">
        <v>301</v>
      </c>
      <c r="BT38" s="130" t="s">
        <v>301</v>
      </c>
      <c r="BU38" s="130" t="s">
        <v>301</v>
      </c>
      <c r="BV38" s="130" t="s">
        <v>301</v>
      </c>
      <c r="BW38" s="130">
        <v>4</v>
      </c>
      <c r="BX38" s="130"/>
    </row>
    <row r="39" spans="1:76" x14ac:dyDescent="0.2">
      <c r="A39" s="130" t="s">
        <v>328</v>
      </c>
      <c r="B39" s="130" t="s">
        <v>301</v>
      </c>
      <c r="C39" s="130" t="s">
        <v>301</v>
      </c>
      <c r="D39" s="130" t="s">
        <v>301</v>
      </c>
      <c r="E39" s="130">
        <v>231</v>
      </c>
      <c r="F39" s="131">
        <v>19</v>
      </c>
      <c r="G39" s="130">
        <v>5</v>
      </c>
      <c r="H39" s="130">
        <v>8</v>
      </c>
      <c r="I39" s="130">
        <v>8</v>
      </c>
      <c r="J39" s="130">
        <v>2</v>
      </c>
      <c r="K39" s="130">
        <v>3</v>
      </c>
      <c r="L39" s="130">
        <v>19</v>
      </c>
      <c r="M39" s="130">
        <v>14</v>
      </c>
      <c r="N39" s="130">
        <v>6</v>
      </c>
      <c r="O39" s="130">
        <v>5</v>
      </c>
      <c r="P39" s="130">
        <v>13</v>
      </c>
      <c r="Q39" s="130">
        <v>32</v>
      </c>
      <c r="R39" s="130">
        <v>14</v>
      </c>
      <c r="S39" s="130">
        <v>4</v>
      </c>
      <c r="T39" s="130">
        <v>23</v>
      </c>
      <c r="U39" s="130">
        <v>13</v>
      </c>
      <c r="V39" s="130">
        <v>21</v>
      </c>
      <c r="W39" s="130">
        <v>9</v>
      </c>
      <c r="X39" s="132" t="s">
        <v>301</v>
      </c>
      <c r="Y39" s="130">
        <v>6</v>
      </c>
      <c r="Z39" s="130" t="s">
        <v>301</v>
      </c>
      <c r="AA39" s="130" t="s">
        <v>301</v>
      </c>
      <c r="AB39" s="131">
        <v>632</v>
      </c>
      <c r="AC39" s="130">
        <v>91</v>
      </c>
      <c r="AD39" s="130">
        <v>489</v>
      </c>
      <c r="AE39" s="130">
        <v>320</v>
      </c>
      <c r="AF39" s="130" t="s">
        <v>301</v>
      </c>
      <c r="AG39" s="130" t="s">
        <v>301</v>
      </c>
      <c r="AH39" s="130" t="s">
        <v>301</v>
      </c>
      <c r="AI39" s="130" t="s">
        <v>301</v>
      </c>
      <c r="AJ39" s="130" t="s">
        <v>301</v>
      </c>
      <c r="AK39" s="130" t="s">
        <v>301</v>
      </c>
      <c r="AL39" s="130">
        <v>37</v>
      </c>
      <c r="AM39" s="130" t="s">
        <v>301</v>
      </c>
      <c r="AN39" s="130">
        <v>2</v>
      </c>
      <c r="AO39" s="130">
        <v>85</v>
      </c>
      <c r="AP39" s="130" t="s">
        <v>301</v>
      </c>
      <c r="AQ39" s="130" t="s">
        <v>301</v>
      </c>
      <c r="AR39" s="130" t="s">
        <v>301</v>
      </c>
      <c r="AS39" s="130" t="s">
        <v>301</v>
      </c>
      <c r="AT39" s="130" t="s">
        <v>301</v>
      </c>
      <c r="AU39" s="130" t="s">
        <v>301</v>
      </c>
      <c r="AV39" s="130" t="s">
        <v>301</v>
      </c>
      <c r="AW39" s="130" t="s">
        <v>301</v>
      </c>
      <c r="AX39" s="130" t="s">
        <v>301</v>
      </c>
      <c r="AY39" s="130" t="s">
        <v>301</v>
      </c>
      <c r="AZ39" s="130" t="s">
        <v>301</v>
      </c>
      <c r="BA39" s="130" t="s">
        <v>301</v>
      </c>
      <c r="BB39" s="130" t="s">
        <v>301</v>
      </c>
      <c r="BC39" s="130" t="s">
        <v>301</v>
      </c>
      <c r="BD39" s="130" t="s">
        <v>301</v>
      </c>
      <c r="BE39" s="130" t="s">
        <v>301</v>
      </c>
      <c r="BF39" s="130" t="s">
        <v>301</v>
      </c>
      <c r="BG39" s="130" t="s">
        <v>301</v>
      </c>
      <c r="BH39" s="130" t="s">
        <v>301</v>
      </c>
      <c r="BI39" s="130" t="s">
        <v>301</v>
      </c>
      <c r="BJ39" s="130" t="s">
        <v>301</v>
      </c>
      <c r="BK39" s="130" t="s">
        <v>301</v>
      </c>
      <c r="BL39" s="130" t="s">
        <v>301</v>
      </c>
      <c r="BM39" s="130" t="s">
        <v>301</v>
      </c>
      <c r="BN39" s="130" t="s">
        <v>301</v>
      </c>
      <c r="BO39" s="130">
        <v>2111</v>
      </c>
      <c r="BP39" s="130" t="s">
        <v>301</v>
      </c>
      <c r="BQ39" s="130" t="s">
        <v>301</v>
      </c>
      <c r="BR39" s="130" t="s">
        <v>301</v>
      </c>
      <c r="BS39" s="130" t="s">
        <v>301</v>
      </c>
      <c r="BT39" s="130" t="s">
        <v>301</v>
      </c>
      <c r="BU39" s="130" t="s">
        <v>301</v>
      </c>
      <c r="BV39" s="130" t="s">
        <v>301</v>
      </c>
      <c r="BW39" s="130">
        <v>1873</v>
      </c>
      <c r="BX39" s="130"/>
    </row>
    <row r="40" spans="1:76" x14ac:dyDescent="0.2">
      <c r="A40" s="130" t="s">
        <v>329</v>
      </c>
      <c r="B40" s="130" t="s">
        <v>301</v>
      </c>
      <c r="C40" s="130" t="s">
        <v>301</v>
      </c>
      <c r="D40" s="130" t="s">
        <v>301</v>
      </c>
      <c r="E40" s="130" t="s">
        <v>301</v>
      </c>
      <c r="F40" s="131" t="s">
        <v>301</v>
      </c>
      <c r="G40" s="130" t="s">
        <v>301</v>
      </c>
      <c r="H40" s="130" t="s">
        <v>301</v>
      </c>
      <c r="I40" s="130" t="s">
        <v>301</v>
      </c>
      <c r="J40" s="130" t="s">
        <v>301</v>
      </c>
      <c r="K40" s="130" t="s">
        <v>301</v>
      </c>
      <c r="L40" s="130" t="s">
        <v>301</v>
      </c>
      <c r="M40" s="130" t="s">
        <v>301</v>
      </c>
      <c r="N40" s="130" t="s">
        <v>301</v>
      </c>
      <c r="O40" s="130" t="s">
        <v>301</v>
      </c>
      <c r="P40" s="130" t="s">
        <v>301</v>
      </c>
      <c r="Q40" s="130" t="s">
        <v>301</v>
      </c>
      <c r="R40" s="130" t="s">
        <v>301</v>
      </c>
      <c r="S40" s="130" t="s">
        <v>301</v>
      </c>
      <c r="T40" s="130" t="s">
        <v>301</v>
      </c>
      <c r="U40" s="130" t="s">
        <v>301</v>
      </c>
      <c r="V40" s="130" t="s">
        <v>301</v>
      </c>
      <c r="W40" s="130" t="s">
        <v>301</v>
      </c>
      <c r="X40" s="132" t="s">
        <v>301</v>
      </c>
      <c r="Y40" s="130" t="s">
        <v>301</v>
      </c>
      <c r="Z40" s="130" t="s">
        <v>301</v>
      </c>
      <c r="AA40" s="130" t="s">
        <v>301</v>
      </c>
      <c r="AB40" s="131" t="s">
        <v>301</v>
      </c>
      <c r="AC40" s="130">
        <v>35</v>
      </c>
      <c r="AD40" s="130" t="s">
        <v>301</v>
      </c>
      <c r="AE40" s="130">
        <v>249</v>
      </c>
      <c r="AF40" s="130">
        <v>65</v>
      </c>
      <c r="AG40" s="130" t="s">
        <v>301</v>
      </c>
      <c r="AH40" s="130" t="s">
        <v>301</v>
      </c>
      <c r="AI40" s="130" t="s">
        <v>301</v>
      </c>
      <c r="AJ40" s="130">
        <v>117</v>
      </c>
      <c r="AK40" s="130">
        <v>44</v>
      </c>
      <c r="AL40" s="130">
        <v>233</v>
      </c>
      <c r="AM40" s="130" t="s">
        <v>301</v>
      </c>
      <c r="AN40" s="130">
        <v>2</v>
      </c>
      <c r="AO40" s="130" t="s">
        <v>301</v>
      </c>
      <c r="AP40" s="130" t="s">
        <v>301</v>
      </c>
      <c r="AQ40" s="130" t="s">
        <v>301</v>
      </c>
      <c r="AR40" s="130" t="s">
        <v>301</v>
      </c>
      <c r="AS40" s="130" t="s">
        <v>301</v>
      </c>
      <c r="AT40" s="130" t="s">
        <v>301</v>
      </c>
      <c r="AU40" s="130" t="s">
        <v>301</v>
      </c>
      <c r="AV40" s="130" t="s">
        <v>301</v>
      </c>
      <c r="AW40" s="130" t="s">
        <v>301</v>
      </c>
      <c r="AX40" s="130" t="s">
        <v>301</v>
      </c>
      <c r="AY40" s="130" t="s">
        <v>301</v>
      </c>
      <c r="AZ40" s="130">
        <v>19</v>
      </c>
      <c r="BA40" s="130" t="s">
        <v>301</v>
      </c>
      <c r="BB40" s="130" t="s">
        <v>301</v>
      </c>
      <c r="BC40" s="130" t="s">
        <v>301</v>
      </c>
      <c r="BD40" s="130">
        <v>7</v>
      </c>
      <c r="BE40" s="130" t="s">
        <v>301</v>
      </c>
      <c r="BF40" s="130" t="s">
        <v>301</v>
      </c>
      <c r="BG40" s="130" t="s">
        <v>301</v>
      </c>
      <c r="BH40" s="130">
        <v>1682</v>
      </c>
      <c r="BI40" s="130">
        <v>41</v>
      </c>
      <c r="BJ40" s="130" t="s">
        <v>301</v>
      </c>
      <c r="BK40" s="130" t="s">
        <v>301</v>
      </c>
      <c r="BL40" s="130">
        <v>43</v>
      </c>
      <c r="BM40" s="130" t="s">
        <v>301</v>
      </c>
      <c r="BN40" s="130" t="s">
        <v>301</v>
      </c>
      <c r="BO40" s="130">
        <v>2537</v>
      </c>
      <c r="BP40" s="130">
        <v>1799</v>
      </c>
      <c r="BQ40" s="130" t="s">
        <v>301</v>
      </c>
      <c r="BR40" s="130" t="s">
        <v>301</v>
      </c>
      <c r="BS40" s="130" t="s">
        <v>301</v>
      </c>
      <c r="BT40" s="130" t="s">
        <v>301</v>
      </c>
      <c r="BU40" s="130" t="s">
        <v>301</v>
      </c>
      <c r="BV40" s="130" t="s">
        <v>301</v>
      </c>
      <c r="BW40" s="130" t="s">
        <v>301</v>
      </c>
      <c r="BX40" s="130"/>
    </row>
    <row r="41" spans="1:76" s="135" customFormat="1" x14ac:dyDescent="0.2">
      <c r="A41" s="134" t="s">
        <v>330</v>
      </c>
      <c r="B41" s="134">
        <v>752</v>
      </c>
      <c r="C41" s="134">
        <v>900</v>
      </c>
      <c r="D41" s="134">
        <v>14</v>
      </c>
      <c r="E41" s="134">
        <v>762</v>
      </c>
      <c r="F41" s="134">
        <v>1296</v>
      </c>
      <c r="G41" s="134">
        <v>75</v>
      </c>
      <c r="H41" s="134">
        <v>332</v>
      </c>
      <c r="I41" s="134">
        <v>189</v>
      </c>
      <c r="J41" s="134">
        <v>24</v>
      </c>
      <c r="K41" s="134">
        <v>7</v>
      </c>
      <c r="L41" s="134">
        <v>270</v>
      </c>
      <c r="M41" s="134">
        <v>82</v>
      </c>
      <c r="N41" s="134">
        <v>216</v>
      </c>
      <c r="O41" s="134">
        <v>269</v>
      </c>
      <c r="P41" s="134">
        <v>361</v>
      </c>
      <c r="Q41" s="134">
        <v>270</v>
      </c>
      <c r="R41" s="134">
        <v>59</v>
      </c>
      <c r="S41" s="134">
        <v>156</v>
      </c>
      <c r="T41" s="134">
        <v>294</v>
      </c>
      <c r="U41" s="134">
        <v>674</v>
      </c>
      <c r="V41" s="134">
        <v>42</v>
      </c>
      <c r="W41" s="134">
        <v>228</v>
      </c>
      <c r="X41" s="134" t="s">
        <v>301</v>
      </c>
      <c r="Y41" s="134">
        <v>86</v>
      </c>
      <c r="Z41" s="134">
        <v>1</v>
      </c>
      <c r="AA41" s="134">
        <v>13</v>
      </c>
      <c r="AB41" s="134">
        <v>1280</v>
      </c>
      <c r="AC41" s="134">
        <v>246</v>
      </c>
      <c r="AD41" s="134">
        <v>2156</v>
      </c>
      <c r="AE41" s="134">
        <v>432</v>
      </c>
      <c r="AF41" s="134">
        <v>12339</v>
      </c>
      <c r="AG41" s="134">
        <v>7</v>
      </c>
      <c r="AH41" s="134">
        <v>10</v>
      </c>
      <c r="AI41" s="134">
        <v>4588</v>
      </c>
      <c r="AJ41" s="134">
        <v>1002</v>
      </c>
      <c r="AK41" s="134">
        <v>32</v>
      </c>
      <c r="AL41" s="134">
        <v>23</v>
      </c>
      <c r="AM41" s="134">
        <v>29</v>
      </c>
      <c r="AN41" s="134">
        <v>20</v>
      </c>
      <c r="AO41" s="134">
        <v>100</v>
      </c>
      <c r="AP41" s="134">
        <v>175</v>
      </c>
      <c r="AQ41" s="134">
        <v>15</v>
      </c>
      <c r="AR41" s="134">
        <v>23</v>
      </c>
      <c r="AS41" s="134" t="s">
        <v>301</v>
      </c>
      <c r="AT41" s="134">
        <v>192</v>
      </c>
      <c r="AU41" s="134">
        <v>153</v>
      </c>
      <c r="AV41" s="134">
        <v>79</v>
      </c>
      <c r="AW41" s="134">
        <v>21</v>
      </c>
      <c r="AX41" s="134">
        <v>24</v>
      </c>
      <c r="AY41" s="134">
        <v>61</v>
      </c>
      <c r="AZ41" s="134">
        <v>95</v>
      </c>
      <c r="BA41" s="134">
        <v>30</v>
      </c>
      <c r="BB41" s="134">
        <v>6</v>
      </c>
      <c r="BC41" s="134">
        <v>163</v>
      </c>
      <c r="BD41" s="134">
        <v>917</v>
      </c>
      <c r="BE41" s="134">
        <v>2864</v>
      </c>
      <c r="BF41" s="134">
        <v>97</v>
      </c>
      <c r="BG41" s="134">
        <v>47</v>
      </c>
      <c r="BH41" s="134">
        <v>50</v>
      </c>
      <c r="BI41" s="134">
        <v>32</v>
      </c>
      <c r="BJ41" s="134">
        <v>108</v>
      </c>
      <c r="BK41" s="134" t="s">
        <v>301</v>
      </c>
      <c r="BL41" s="134">
        <v>40</v>
      </c>
      <c r="BM41" s="134" t="s">
        <v>301</v>
      </c>
      <c r="BN41" s="134" t="s">
        <v>301</v>
      </c>
      <c r="BO41" s="134">
        <v>34828</v>
      </c>
      <c r="BP41" s="134">
        <v>9323</v>
      </c>
      <c r="BQ41" s="134">
        <v>1064</v>
      </c>
      <c r="BR41" s="134" t="s">
        <v>301</v>
      </c>
      <c r="BS41" s="134" t="s">
        <v>301</v>
      </c>
      <c r="BT41" s="134" t="s">
        <v>301</v>
      </c>
      <c r="BU41" s="134" t="s">
        <v>301</v>
      </c>
      <c r="BV41" s="134" t="s">
        <v>301</v>
      </c>
      <c r="BW41" s="134">
        <v>4113</v>
      </c>
      <c r="BX41" s="134"/>
    </row>
    <row r="42" spans="1:76" x14ac:dyDescent="0.2">
      <c r="A42" s="130" t="s">
        <v>331</v>
      </c>
      <c r="B42" s="130">
        <v>2</v>
      </c>
      <c r="C42" s="130">
        <v>115</v>
      </c>
      <c r="D42" s="130">
        <v>3</v>
      </c>
      <c r="E42" s="130">
        <v>80</v>
      </c>
      <c r="F42" s="131">
        <v>8</v>
      </c>
      <c r="G42" s="130">
        <v>1</v>
      </c>
      <c r="H42" s="130">
        <v>3</v>
      </c>
      <c r="I42" s="130">
        <v>82</v>
      </c>
      <c r="J42" s="130">
        <v>1</v>
      </c>
      <c r="K42" s="130">
        <v>1</v>
      </c>
      <c r="L42" s="130">
        <v>1</v>
      </c>
      <c r="M42" s="130">
        <v>4</v>
      </c>
      <c r="N42" s="130">
        <v>2</v>
      </c>
      <c r="O42" s="130">
        <v>1</v>
      </c>
      <c r="P42" s="130">
        <v>2</v>
      </c>
      <c r="Q42" s="130">
        <v>5</v>
      </c>
      <c r="R42" s="130">
        <v>2</v>
      </c>
      <c r="S42" s="130">
        <v>2</v>
      </c>
      <c r="T42" s="130">
        <v>5</v>
      </c>
      <c r="U42" s="130" t="s">
        <v>301</v>
      </c>
      <c r="V42" s="130">
        <v>2</v>
      </c>
      <c r="W42" s="130">
        <v>4</v>
      </c>
      <c r="X42" s="132" t="s">
        <v>301</v>
      </c>
      <c r="Y42" s="130">
        <v>6</v>
      </c>
      <c r="Z42" s="130" t="s">
        <v>301</v>
      </c>
      <c r="AA42" s="130">
        <v>3</v>
      </c>
      <c r="AB42" s="131">
        <v>161</v>
      </c>
      <c r="AC42" s="130">
        <v>50</v>
      </c>
      <c r="AD42" s="130">
        <v>492</v>
      </c>
      <c r="AE42" s="130">
        <v>7</v>
      </c>
      <c r="AF42" s="130">
        <v>16</v>
      </c>
      <c r="AG42" s="130">
        <v>327</v>
      </c>
      <c r="AH42" s="130">
        <v>4</v>
      </c>
      <c r="AI42" s="130">
        <v>312</v>
      </c>
      <c r="AJ42" s="130">
        <v>4</v>
      </c>
      <c r="AK42" s="130">
        <v>13</v>
      </c>
      <c r="AL42" s="130">
        <v>7</v>
      </c>
      <c r="AM42" s="130">
        <v>3</v>
      </c>
      <c r="AN42" s="130">
        <v>2</v>
      </c>
      <c r="AO42" s="130">
        <v>26</v>
      </c>
      <c r="AP42" s="130">
        <v>32</v>
      </c>
      <c r="AQ42" s="130">
        <v>1</v>
      </c>
      <c r="AR42" s="130">
        <v>10</v>
      </c>
      <c r="AS42" s="130" t="s">
        <v>301</v>
      </c>
      <c r="AT42" s="130">
        <v>50</v>
      </c>
      <c r="AU42" s="130">
        <v>57</v>
      </c>
      <c r="AV42" s="130">
        <v>27</v>
      </c>
      <c r="AW42" s="130">
        <v>6</v>
      </c>
      <c r="AX42" s="130">
        <v>7</v>
      </c>
      <c r="AY42" s="130">
        <v>24</v>
      </c>
      <c r="AZ42" s="130">
        <v>7</v>
      </c>
      <c r="BA42" s="130">
        <v>6</v>
      </c>
      <c r="BB42" s="130">
        <v>1</v>
      </c>
      <c r="BC42" s="130">
        <v>42</v>
      </c>
      <c r="BD42" s="130">
        <v>36</v>
      </c>
      <c r="BE42" s="130">
        <v>30</v>
      </c>
      <c r="BF42" s="130">
        <v>31</v>
      </c>
      <c r="BG42" s="130">
        <v>11</v>
      </c>
      <c r="BH42" s="130">
        <v>10</v>
      </c>
      <c r="BI42" s="130">
        <v>3</v>
      </c>
      <c r="BJ42" s="130">
        <v>17</v>
      </c>
      <c r="BK42" s="130" t="s">
        <v>301</v>
      </c>
      <c r="BL42" s="130">
        <v>3</v>
      </c>
      <c r="BM42" s="130" t="s">
        <v>301</v>
      </c>
      <c r="BN42" s="130" t="s">
        <v>301</v>
      </c>
      <c r="BO42" s="130">
        <v>2170</v>
      </c>
      <c r="BP42" s="130">
        <v>352</v>
      </c>
      <c r="BQ42" s="130">
        <v>96</v>
      </c>
      <c r="BR42" s="130" t="s">
        <v>301</v>
      </c>
      <c r="BS42" s="130" t="s">
        <v>301</v>
      </c>
      <c r="BT42" s="130" t="s">
        <v>301</v>
      </c>
      <c r="BU42" s="130" t="s">
        <v>301</v>
      </c>
      <c r="BV42" s="130" t="s">
        <v>301</v>
      </c>
      <c r="BW42" s="130">
        <v>1740</v>
      </c>
      <c r="BX42" s="130"/>
    </row>
    <row r="43" spans="1:76" x14ac:dyDescent="0.2">
      <c r="A43" s="130" t="s">
        <v>332</v>
      </c>
      <c r="B43" s="130">
        <v>24</v>
      </c>
      <c r="C43" s="130">
        <v>103</v>
      </c>
      <c r="D43" s="130">
        <v>11</v>
      </c>
      <c r="E43" s="130">
        <v>261</v>
      </c>
      <c r="F43" s="131">
        <v>198</v>
      </c>
      <c r="G43" s="130">
        <v>17</v>
      </c>
      <c r="H43" s="130">
        <v>36</v>
      </c>
      <c r="I43" s="130">
        <v>23</v>
      </c>
      <c r="J43" s="130">
        <v>22</v>
      </c>
      <c r="K43" s="130">
        <v>6</v>
      </c>
      <c r="L43" s="130">
        <v>54</v>
      </c>
      <c r="M43" s="130">
        <v>26</v>
      </c>
      <c r="N43" s="130">
        <v>45</v>
      </c>
      <c r="O43" s="130">
        <v>33</v>
      </c>
      <c r="P43" s="130">
        <v>25</v>
      </c>
      <c r="Q43" s="130">
        <v>102</v>
      </c>
      <c r="R43" s="130">
        <v>43</v>
      </c>
      <c r="S43" s="130">
        <v>29</v>
      </c>
      <c r="T43" s="130">
        <v>131</v>
      </c>
      <c r="U43" s="130">
        <v>36</v>
      </c>
      <c r="V43" s="130">
        <v>43</v>
      </c>
      <c r="W43" s="130">
        <v>85</v>
      </c>
      <c r="X43" s="132" t="s">
        <v>301</v>
      </c>
      <c r="Y43" s="130">
        <v>65</v>
      </c>
      <c r="Z43" s="130">
        <v>6</v>
      </c>
      <c r="AA43" s="130">
        <v>68</v>
      </c>
      <c r="AB43" s="131">
        <v>287</v>
      </c>
      <c r="AC43" s="130">
        <v>262</v>
      </c>
      <c r="AD43" s="130">
        <v>259</v>
      </c>
      <c r="AE43" s="130">
        <v>115</v>
      </c>
      <c r="AF43" s="130">
        <v>182</v>
      </c>
      <c r="AG43" s="130" t="s">
        <v>301</v>
      </c>
      <c r="AH43" s="130">
        <v>246</v>
      </c>
      <c r="AI43" s="130">
        <v>170</v>
      </c>
      <c r="AJ43" s="130">
        <v>592</v>
      </c>
      <c r="AK43" s="130">
        <v>191</v>
      </c>
      <c r="AL43" s="130">
        <v>113</v>
      </c>
      <c r="AM43" s="130">
        <v>108</v>
      </c>
      <c r="AN43" s="130">
        <v>213</v>
      </c>
      <c r="AO43" s="130">
        <v>575</v>
      </c>
      <c r="AP43" s="130">
        <v>815</v>
      </c>
      <c r="AQ43" s="130">
        <v>95</v>
      </c>
      <c r="AR43" s="130">
        <v>128</v>
      </c>
      <c r="AS43" s="130" t="s">
        <v>301</v>
      </c>
      <c r="AT43" s="130">
        <v>1050</v>
      </c>
      <c r="AU43" s="130">
        <v>926</v>
      </c>
      <c r="AV43" s="130">
        <v>358</v>
      </c>
      <c r="AW43" s="130">
        <v>92</v>
      </c>
      <c r="AX43" s="130">
        <v>150</v>
      </c>
      <c r="AY43" s="130">
        <v>311</v>
      </c>
      <c r="AZ43" s="130">
        <v>146</v>
      </c>
      <c r="BA43" s="130">
        <v>187</v>
      </c>
      <c r="BB43" s="130">
        <v>25</v>
      </c>
      <c r="BC43" s="130">
        <v>715</v>
      </c>
      <c r="BD43" s="130">
        <v>1315</v>
      </c>
      <c r="BE43" s="130">
        <v>606</v>
      </c>
      <c r="BF43" s="130">
        <v>404</v>
      </c>
      <c r="BG43" s="130">
        <v>237</v>
      </c>
      <c r="BH43" s="130">
        <v>184</v>
      </c>
      <c r="BI43" s="130">
        <v>42</v>
      </c>
      <c r="BJ43" s="130">
        <v>266</v>
      </c>
      <c r="BK43" s="130" t="s">
        <v>301</v>
      </c>
      <c r="BL43" s="130">
        <v>46</v>
      </c>
      <c r="BM43" s="130" t="s">
        <v>301</v>
      </c>
      <c r="BN43" s="130" t="s">
        <v>301</v>
      </c>
      <c r="BO43" s="130">
        <v>12903</v>
      </c>
      <c r="BP43" s="130">
        <v>15315</v>
      </c>
      <c r="BQ43" s="130">
        <v>4550</v>
      </c>
      <c r="BR43" s="130" t="s">
        <v>301</v>
      </c>
      <c r="BS43" s="130" t="s">
        <v>301</v>
      </c>
      <c r="BT43" s="130" t="s">
        <v>301</v>
      </c>
      <c r="BU43" s="130" t="s">
        <v>301</v>
      </c>
      <c r="BV43" s="130" t="s">
        <v>301</v>
      </c>
      <c r="BW43" s="130">
        <v>641</v>
      </c>
      <c r="BX43" s="130"/>
    </row>
    <row r="44" spans="1:76" x14ac:dyDescent="0.2">
      <c r="A44" s="130" t="s">
        <v>333</v>
      </c>
      <c r="B44" s="130">
        <v>20</v>
      </c>
      <c r="C44" s="130">
        <v>330</v>
      </c>
      <c r="D44" s="130">
        <v>96</v>
      </c>
      <c r="E44" s="130">
        <v>1013</v>
      </c>
      <c r="F44" s="131">
        <v>2146</v>
      </c>
      <c r="G44" s="130">
        <v>68</v>
      </c>
      <c r="H44" s="130">
        <v>464</v>
      </c>
      <c r="I44" s="130">
        <v>318</v>
      </c>
      <c r="J44" s="130">
        <v>99</v>
      </c>
      <c r="K44" s="130">
        <v>172</v>
      </c>
      <c r="L44" s="130">
        <v>746</v>
      </c>
      <c r="M44" s="130">
        <v>111</v>
      </c>
      <c r="N44" s="130">
        <v>607</v>
      </c>
      <c r="O44" s="130">
        <v>527</v>
      </c>
      <c r="P44" s="130">
        <v>329</v>
      </c>
      <c r="Q44" s="130">
        <v>313</v>
      </c>
      <c r="R44" s="130">
        <v>155</v>
      </c>
      <c r="S44" s="130">
        <v>155</v>
      </c>
      <c r="T44" s="130">
        <v>569</v>
      </c>
      <c r="U44" s="130">
        <v>371</v>
      </c>
      <c r="V44" s="130">
        <v>327</v>
      </c>
      <c r="W44" s="130">
        <v>386</v>
      </c>
      <c r="X44" s="132" t="s">
        <v>301</v>
      </c>
      <c r="Y44" s="130">
        <v>18</v>
      </c>
      <c r="Z44" s="130">
        <v>2</v>
      </c>
      <c r="AA44" s="130">
        <v>19</v>
      </c>
      <c r="AB44" s="131">
        <v>25</v>
      </c>
      <c r="AC44" s="130">
        <v>737</v>
      </c>
      <c r="AD44" s="130">
        <v>4497</v>
      </c>
      <c r="AE44" s="130">
        <v>1682</v>
      </c>
      <c r="AF44" s="130">
        <v>7056</v>
      </c>
      <c r="AG44" s="130">
        <v>1987</v>
      </c>
      <c r="AH44" s="130">
        <v>3751</v>
      </c>
      <c r="AI44" s="130">
        <v>579</v>
      </c>
      <c r="AJ44" s="130">
        <v>315</v>
      </c>
      <c r="AK44" s="130">
        <v>49</v>
      </c>
      <c r="AL44" s="130">
        <v>104</v>
      </c>
      <c r="AM44" s="130">
        <v>26</v>
      </c>
      <c r="AN44" s="130">
        <v>32</v>
      </c>
      <c r="AO44" s="130">
        <v>152</v>
      </c>
      <c r="AP44" s="130">
        <v>211</v>
      </c>
      <c r="AQ44" s="130">
        <v>22</v>
      </c>
      <c r="AR44" s="130">
        <v>32</v>
      </c>
      <c r="AS44" s="130" t="s">
        <v>301</v>
      </c>
      <c r="AT44" s="130">
        <v>242</v>
      </c>
      <c r="AU44" s="130">
        <v>227</v>
      </c>
      <c r="AV44" s="130">
        <v>97</v>
      </c>
      <c r="AW44" s="130">
        <v>26</v>
      </c>
      <c r="AX44" s="130">
        <v>36</v>
      </c>
      <c r="AY44" s="130">
        <v>86</v>
      </c>
      <c r="AZ44" s="130">
        <v>127</v>
      </c>
      <c r="BA44" s="130">
        <v>48</v>
      </c>
      <c r="BB44" s="130">
        <v>9</v>
      </c>
      <c r="BC44" s="130">
        <v>187</v>
      </c>
      <c r="BD44" s="130">
        <v>1188</v>
      </c>
      <c r="BE44" s="130">
        <v>249</v>
      </c>
      <c r="BF44" s="130">
        <v>107</v>
      </c>
      <c r="BG44" s="130">
        <v>55</v>
      </c>
      <c r="BH44" s="130">
        <v>81</v>
      </c>
      <c r="BI44" s="130">
        <v>54</v>
      </c>
      <c r="BJ44" s="130">
        <v>60</v>
      </c>
      <c r="BK44" s="130" t="s">
        <v>301</v>
      </c>
      <c r="BL44" s="130">
        <v>13</v>
      </c>
      <c r="BM44" s="130" t="s">
        <v>301</v>
      </c>
      <c r="BN44" s="130" t="s">
        <v>301</v>
      </c>
      <c r="BO44" s="130">
        <v>33510</v>
      </c>
      <c r="BP44" s="130">
        <v>5384</v>
      </c>
      <c r="BQ44" s="130">
        <v>72</v>
      </c>
      <c r="BR44" s="130" t="s">
        <v>301</v>
      </c>
      <c r="BS44" s="130" t="s">
        <v>301</v>
      </c>
      <c r="BT44" s="130" t="s">
        <v>301</v>
      </c>
      <c r="BU44" s="130" t="s">
        <v>301</v>
      </c>
      <c r="BV44" s="130" t="s">
        <v>301</v>
      </c>
      <c r="BW44" s="130">
        <v>3256</v>
      </c>
      <c r="BX44" s="130"/>
    </row>
    <row r="45" spans="1:76" x14ac:dyDescent="0.2">
      <c r="A45" s="130" t="s">
        <v>334</v>
      </c>
      <c r="B45" s="130">
        <v>4</v>
      </c>
      <c r="C45" s="130">
        <v>3</v>
      </c>
      <c r="D45" s="130" t="s">
        <v>301</v>
      </c>
      <c r="E45" s="130">
        <v>154</v>
      </c>
      <c r="F45" s="131">
        <v>271</v>
      </c>
      <c r="G45" s="130">
        <v>51</v>
      </c>
      <c r="H45" s="130">
        <v>55</v>
      </c>
      <c r="I45" s="130">
        <v>39</v>
      </c>
      <c r="J45" s="130">
        <v>77</v>
      </c>
      <c r="K45" s="130">
        <v>4</v>
      </c>
      <c r="L45" s="130">
        <v>155</v>
      </c>
      <c r="M45" s="130">
        <v>20</v>
      </c>
      <c r="N45" s="130">
        <v>83</v>
      </c>
      <c r="O45" s="130">
        <v>53</v>
      </c>
      <c r="P45" s="130">
        <v>40</v>
      </c>
      <c r="Q45" s="130">
        <v>160</v>
      </c>
      <c r="R45" s="130">
        <v>39</v>
      </c>
      <c r="S45" s="130">
        <v>33</v>
      </c>
      <c r="T45" s="130">
        <v>142</v>
      </c>
      <c r="U45" s="130">
        <v>35</v>
      </c>
      <c r="V45" s="130">
        <v>13</v>
      </c>
      <c r="W45" s="130">
        <v>171</v>
      </c>
      <c r="X45" s="132" t="s">
        <v>301</v>
      </c>
      <c r="Y45" s="130">
        <v>144</v>
      </c>
      <c r="Z45" s="130">
        <v>1</v>
      </c>
      <c r="AA45" s="130">
        <v>47</v>
      </c>
      <c r="AB45" s="131">
        <v>527</v>
      </c>
      <c r="AC45" s="130">
        <v>603</v>
      </c>
      <c r="AD45" s="130">
        <v>1543</v>
      </c>
      <c r="AE45" s="130">
        <v>1853</v>
      </c>
      <c r="AF45" s="130">
        <v>81</v>
      </c>
      <c r="AG45" s="130">
        <v>3</v>
      </c>
      <c r="AH45" s="130">
        <v>39</v>
      </c>
      <c r="AI45" s="130">
        <v>555</v>
      </c>
      <c r="AJ45" s="130">
        <v>293</v>
      </c>
      <c r="AK45" s="130">
        <v>196</v>
      </c>
      <c r="AL45" s="130">
        <v>185</v>
      </c>
      <c r="AM45" s="130">
        <v>16</v>
      </c>
      <c r="AN45" s="130">
        <v>302</v>
      </c>
      <c r="AO45" s="130">
        <v>106</v>
      </c>
      <c r="AP45" s="130">
        <v>1060</v>
      </c>
      <c r="AQ45" s="130">
        <v>280</v>
      </c>
      <c r="AR45" s="130">
        <v>396</v>
      </c>
      <c r="AS45" s="130" t="s">
        <v>301</v>
      </c>
      <c r="AT45" s="130">
        <v>1081</v>
      </c>
      <c r="AU45" s="130">
        <v>236</v>
      </c>
      <c r="AV45" s="130">
        <v>37</v>
      </c>
      <c r="AW45" s="130">
        <v>10</v>
      </c>
      <c r="AX45" s="130">
        <v>52</v>
      </c>
      <c r="AY45" s="130">
        <v>90</v>
      </c>
      <c r="AZ45" s="130">
        <v>49</v>
      </c>
      <c r="BA45" s="130">
        <v>165</v>
      </c>
      <c r="BB45" s="130">
        <v>12</v>
      </c>
      <c r="BC45" s="130">
        <v>555</v>
      </c>
      <c r="BD45" s="130">
        <v>647</v>
      </c>
      <c r="BE45" s="130">
        <v>242</v>
      </c>
      <c r="BF45" s="130">
        <v>404</v>
      </c>
      <c r="BG45" s="130">
        <v>170</v>
      </c>
      <c r="BH45" s="130">
        <v>68</v>
      </c>
      <c r="BI45" s="130">
        <v>38</v>
      </c>
      <c r="BJ45" s="130">
        <v>279</v>
      </c>
      <c r="BK45" s="130" t="s">
        <v>301</v>
      </c>
      <c r="BL45" s="130">
        <v>25</v>
      </c>
      <c r="BM45" s="130" t="s">
        <v>301</v>
      </c>
      <c r="BN45" s="130" t="s">
        <v>301</v>
      </c>
      <c r="BO45" s="130">
        <v>13992</v>
      </c>
      <c r="BP45" s="130">
        <v>2103</v>
      </c>
      <c r="BQ45" s="130" t="s">
        <v>301</v>
      </c>
      <c r="BR45" s="130" t="s">
        <v>301</v>
      </c>
      <c r="BS45" s="130" t="s">
        <v>301</v>
      </c>
      <c r="BT45" s="130" t="s">
        <v>301</v>
      </c>
      <c r="BU45" s="130" t="s">
        <v>301</v>
      </c>
      <c r="BV45" s="130" t="s">
        <v>301</v>
      </c>
      <c r="BW45" s="130">
        <v>1861</v>
      </c>
      <c r="BX45" s="130"/>
    </row>
    <row r="46" spans="1:76" x14ac:dyDescent="0.2">
      <c r="A46" s="130" t="s">
        <v>335</v>
      </c>
      <c r="B46" s="130">
        <v>33</v>
      </c>
      <c r="C46" s="130">
        <v>21</v>
      </c>
      <c r="D46" s="130">
        <v>18</v>
      </c>
      <c r="E46" s="130">
        <v>478</v>
      </c>
      <c r="F46" s="131">
        <v>849</v>
      </c>
      <c r="G46" s="130">
        <v>44</v>
      </c>
      <c r="H46" s="130">
        <v>93</v>
      </c>
      <c r="I46" s="130">
        <v>60</v>
      </c>
      <c r="J46" s="130">
        <v>45</v>
      </c>
      <c r="K46" s="130">
        <v>9</v>
      </c>
      <c r="L46" s="130">
        <v>152</v>
      </c>
      <c r="M46" s="130">
        <v>116</v>
      </c>
      <c r="N46" s="130">
        <v>107</v>
      </c>
      <c r="O46" s="130">
        <v>87</v>
      </c>
      <c r="P46" s="130">
        <v>46</v>
      </c>
      <c r="Q46" s="130">
        <v>230</v>
      </c>
      <c r="R46" s="130">
        <v>97</v>
      </c>
      <c r="S46" s="130">
        <v>69</v>
      </c>
      <c r="T46" s="130">
        <v>281</v>
      </c>
      <c r="U46" s="130">
        <v>60</v>
      </c>
      <c r="V46" s="130">
        <v>136</v>
      </c>
      <c r="W46" s="130">
        <v>255</v>
      </c>
      <c r="X46" s="132" t="s">
        <v>301</v>
      </c>
      <c r="Y46" s="130">
        <v>131</v>
      </c>
      <c r="Z46" s="130">
        <v>12</v>
      </c>
      <c r="AA46" s="130">
        <v>132</v>
      </c>
      <c r="AB46" s="131">
        <v>340</v>
      </c>
      <c r="AC46" s="130">
        <v>1419</v>
      </c>
      <c r="AD46" s="130">
        <v>1770</v>
      </c>
      <c r="AE46" s="130">
        <v>1564</v>
      </c>
      <c r="AF46" s="130">
        <v>286</v>
      </c>
      <c r="AG46" s="130">
        <v>1</v>
      </c>
      <c r="AH46" s="130">
        <v>1028</v>
      </c>
      <c r="AI46" s="130">
        <v>1287</v>
      </c>
      <c r="AJ46" s="130">
        <v>95</v>
      </c>
      <c r="AK46" s="130">
        <v>522</v>
      </c>
      <c r="AL46" s="130">
        <v>262</v>
      </c>
      <c r="AM46" s="130">
        <v>208</v>
      </c>
      <c r="AN46" s="130">
        <v>318</v>
      </c>
      <c r="AO46" s="130">
        <v>943</v>
      </c>
      <c r="AP46" s="130">
        <v>1244</v>
      </c>
      <c r="AQ46" s="130">
        <v>119</v>
      </c>
      <c r="AR46" s="130">
        <v>287</v>
      </c>
      <c r="AS46" s="130" t="s">
        <v>301</v>
      </c>
      <c r="AT46" s="130">
        <v>1743</v>
      </c>
      <c r="AU46" s="130">
        <v>1311</v>
      </c>
      <c r="AV46" s="130">
        <v>625</v>
      </c>
      <c r="AW46" s="130">
        <v>145</v>
      </c>
      <c r="AX46" s="130">
        <v>215</v>
      </c>
      <c r="AY46" s="130">
        <v>490</v>
      </c>
      <c r="AZ46" s="130">
        <v>299</v>
      </c>
      <c r="BA46" s="130">
        <v>275</v>
      </c>
      <c r="BB46" s="130">
        <v>94</v>
      </c>
      <c r="BC46" s="130">
        <v>1244</v>
      </c>
      <c r="BD46" s="130">
        <v>1974</v>
      </c>
      <c r="BE46" s="130">
        <v>1160</v>
      </c>
      <c r="BF46" s="130">
        <v>1642</v>
      </c>
      <c r="BG46" s="130">
        <v>394</v>
      </c>
      <c r="BH46" s="130">
        <v>398</v>
      </c>
      <c r="BI46" s="130">
        <v>98</v>
      </c>
      <c r="BJ46" s="130">
        <v>480</v>
      </c>
      <c r="BK46" s="130" t="s">
        <v>301</v>
      </c>
      <c r="BL46" s="130">
        <v>202</v>
      </c>
      <c r="BM46" s="130" t="s">
        <v>301</v>
      </c>
      <c r="BN46" s="130" t="s">
        <v>301</v>
      </c>
      <c r="BO46" s="130">
        <v>28043</v>
      </c>
      <c r="BP46" s="130">
        <v>89697</v>
      </c>
      <c r="BQ46" s="130">
        <v>16596</v>
      </c>
      <c r="BR46" s="130" t="s">
        <v>301</v>
      </c>
      <c r="BS46" s="130" t="s">
        <v>301</v>
      </c>
      <c r="BT46" s="130" t="s">
        <v>301</v>
      </c>
      <c r="BU46" s="130" t="s">
        <v>301</v>
      </c>
      <c r="BV46" s="130" t="s">
        <v>301</v>
      </c>
      <c r="BW46" s="130">
        <v>405</v>
      </c>
      <c r="BX46" s="130"/>
    </row>
    <row r="47" spans="1:76" x14ac:dyDescent="0.2">
      <c r="A47" s="130" t="s">
        <v>336</v>
      </c>
      <c r="B47" s="130">
        <v>11</v>
      </c>
      <c r="C47" s="130">
        <v>6</v>
      </c>
      <c r="D47" s="130">
        <v>3</v>
      </c>
      <c r="E47" s="130">
        <v>61</v>
      </c>
      <c r="F47" s="131">
        <v>210</v>
      </c>
      <c r="G47" s="130">
        <v>10</v>
      </c>
      <c r="H47" s="130">
        <v>24</v>
      </c>
      <c r="I47" s="130">
        <v>16</v>
      </c>
      <c r="J47" s="130">
        <v>15</v>
      </c>
      <c r="K47" s="130">
        <v>3</v>
      </c>
      <c r="L47" s="130">
        <v>38</v>
      </c>
      <c r="M47" s="130">
        <v>23</v>
      </c>
      <c r="N47" s="130">
        <v>22</v>
      </c>
      <c r="O47" s="130">
        <v>23</v>
      </c>
      <c r="P47" s="130">
        <v>13</v>
      </c>
      <c r="Q47" s="130">
        <v>49</v>
      </c>
      <c r="R47" s="130">
        <v>20</v>
      </c>
      <c r="S47" s="130">
        <v>13</v>
      </c>
      <c r="T47" s="130">
        <v>54</v>
      </c>
      <c r="U47" s="130">
        <v>19</v>
      </c>
      <c r="V47" s="130">
        <v>29</v>
      </c>
      <c r="W47" s="130">
        <v>60</v>
      </c>
      <c r="X47" s="132" t="s">
        <v>301</v>
      </c>
      <c r="Y47" s="130">
        <v>25</v>
      </c>
      <c r="Z47" s="130">
        <v>1</v>
      </c>
      <c r="AA47" s="130">
        <v>32</v>
      </c>
      <c r="AB47" s="131">
        <v>119</v>
      </c>
      <c r="AC47" s="130">
        <v>236</v>
      </c>
      <c r="AD47" s="130">
        <v>353</v>
      </c>
      <c r="AE47" s="130">
        <v>370</v>
      </c>
      <c r="AF47" s="130">
        <v>16</v>
      </c>
      <c r="AG47" s="130">
        <v>1</v>
      </c>
      <c r="AH47" s="130">
        <v>21</v>
      </c>
      <c r="AI47" s="130">
        <v>33</v>
      </c>
      <c r="AJ47" s="130">
        <v>13</v>
      </c>
      <c r="AK47" s="130">
        <v>79</v>
      </c>
      <c r="AL47" s="130">
        <v>266</v>
      </c>
      <c r="AM47" s="130">
        <v>185</v>
      </c>
      <c r="AN47" s="130">
        <v>62</v>
      </c>
      <c r="AO47" s="130">
        <v>262</v>
      </c>
      <c r="AP47" s="130">
        <v>155</v>
      </c>
      <c r="AQ47" s="130">
        <v>20</v>
      </c>
      <c r="AR47" s="130">
        <v>99</v>
      </c>
      <c r="AS47" s="130" t="s">
        <v>301</v>
      </c>
      <c r="AT47" s="130">
        <v>173</v>
      </c>
      <c r="AU47" s="130">
        <v>172</v>
      </c>
      <c r="AV47" s="130">
        <v>114</v>
      </c>
      <c r="AW47" s="130">
        <v>28</v>
      </c>
      <c r="AX47" s="130">
        <v>25</v>
      </c>
      <c r="AY47" s="130">
        <v>67</v>
      </c>
      <c r="AZ47" s="130">
        <v>65</v>
      </c>
      <c r="BA47" s="130">
        <v>19</v>
      </c>
      <c r="BB47" s="130">
        <v>28</v>
      </c>
      <c r="BC47" s="130">
        <v>140</v>
      </c>
      <c r="BD47" s="130">
        <v>350</v>
      </c>
      <c r="BE47" s="130">
        <v>1513</v>
      </c>
      <c r="BF47" s="130">
        <v>300</v>
      </c>
      <c r="BG47" s="130">
        <v>82</v>
      </c>
      <c r="BH47" s="130">
        <v>42</v>
      </c>
      <c r="BI47" s="130">
        <v>12</v>
      </c>
      <c r="BJ47" s="130">
        <v>109</v>
      </c>
      <c r="BK47" s="130" t="s">
        <v>301</v>
      </c>
      <c r="BL47" s="130">
        <v>29</v>
      </c>
      <c r="BM47" s="130" t="s">
        <v>301</v>
      </c>
      <c r="BN47" s="130" t="s">
        <v>301</v>
      </c>
      <c r="BO47" s="130">
        <v>6338</v>
      </c>
      <c r="BP47" s="130">
        <v>5427</v>
      </c>
      <c r="BQ47" s="130">
        <v>356</v>
      </c>
      <c r="BR47" s="130" t="s">
        <v>301</v>
      </c>
      <c r="BS47" s="130" t="s">
        <v>301</v>
      </c>
      <c r="BT47" s="130" t="s">
        <v>301</v>
      </c>
      <c r="BU47" s="130">
        <v>54</v>
      </c>
      <c r="BV47" s="130" t="s">
        <v>301</v>
      </c>
      <c r="BW47" s="130">
        <v>657</v>
      </c>
      <c r="BX47" s="130"/>
    </row>
    <row r="48" spans="1:76" x14ac:dyDescent="0.2">
      <c r="A48" s="130" t="s">
        <v>337</v>
      </c>
      <c r="B48" s="130" t="s">
        <v>301</v>
      </c>
      <c r="C48" s="130" t="s">
        <v>301</v>
      </c>
      <c r="D48" s="130" t="s">
        <v>301</v>
      </c>
      <c r="E48" s="130">
        <v>1</v>
      </c>
      <c r="F48" s="131">
        <v>8</v>
      </c>
      <c r="G48" s="130" t="s">
        <v>301</v>
      </c>
      <c r="H48" s="130" t="s">
        <v>301</v>
      </c>
      <c r="I48" s="130" t="s">
        <v>301</v>
      </c>
      <c r="J48" s="130" t="s">
        <v>301</v>
      </c>
      <c r="K48" s="130" t="s">
        <v>301</v>
      </c>
      <c r="L48" s="130" t="s">
        <v>301</v>
      </c>
      <c r="M48" s="130" t="s">
        <v>301</v>
      </c>
      <c r="N48" s="130" t="s">
        <v>301</v>
      </c>
      <c r="O48" s="130" t="s">
        <v>301</v>
      </c>
      <c r="P48" s="130">
        <v>1</v>
      </c>
      <c r="Q48" s="130">
        <v>1</v>
      </c>
      <c r="R48" s="130">
        <v>17</v>
      </c>
      <c r="S48" s="130" t="s">
        <v>301</v>
      </c>
      <c r="T48" s="130" t="s">
        <v>301</v>
      </c>
      <c r="U48" s="130">
        <v>2</v>
      </c>
      <c r="V48" s="130">
        <v>1</v>
      </c>
      <c r="W48" s="130">
        <v>1</v>
      </c>
      <c r="X48" s="132" t="s">
        <v>301</v>
      </c>
      <c r="Y48" s="130" t="s">
        <v>301</v>
      </c>
      <c r="Z48" s="130" t="s">
        <v>301</v>
      </c>
      <c r="AA48" s="130">
        <v>27</v>
      </c>
      <c r="AB48" s="131">
        <v>2</v>
      </c>
      <c r="AC48" s="130">
        <v>790</v>
      </c>
      <c r="AD48" s="130">
        <v>1376</v>
      </c>
      <c r="AE48" s="130">
        <v>1279</v>
      </c>
      <c r="AF48" s="130">
        <v>38</v>
      </c>
      <c r="AG48" s="130">
        <v>1</v>
      </c>
      <c r="AH48" s="130">
        <v>34</v>
      </c>
      <c r="AI48" s="130">
        <v>97</v>
      </c>
      <c r="AJ48" s="130">
        <v>16</v>
      </c>
      <c r="AK48" s="130">
        <v>301</v>
      </c>
      <c r="AL48" s="130">
        <v>114</v>
      </c>
      <c r="AM48" s="130">
        <v>6663</v>
      </c>
      <c r="AN48" s="130">
        <v>3623</v>
      </c>
      <c r="AO48" s="130">
        <v>147</v>
      </c>
      <c r="AP48" s="130">
        <v>182</v>
      </c>
      <c r="AQ48" s="130">
        <v>14</v>
      </c>
      <c r="AR48" s="130">
        <v>98</v>
      </c>
      <c r="AS48" s="130" t="s">
        <v>301</v>
      </c>
      <c r="AT48" s="130">
        <v>349</v>
      </c>
      <c r="AU48" s="130">
        <v>123</v>
      </c>
      <c r="AV48" s="130">
        <v>111</v>
      </c>
      <c r="AW48" s="130">
        <v>16</v>
      </c>
      <c r="AX48" s="130">
        <v>61</v>
      </c>
      <c r="AY48" s="130">
        <v>48</v>
      </c>
      <c r="AZ48" s="130">
        <v>104</v>
      </c>
      <c r="BA48" s="130">
        <v>52</v>
      </c>
      <c r="BB48" s="130">
        <v>57</v>
      </c>
      <c r="BC48" s="130">
        <v>288</v>
      </c>
      <c r="BD48" s="130">
        <v>598</v>
      </c>
      <c r="BE48" s="130">
        <v>245</v>
      </c>
      <c r="BF48" s="130">
        <v>65</v>
      </c>
      <c r="BG48" s="130">
        <v>78</v>
      </c>
      <c r="BH48" s="130">
        <v>214</v>
      </c>
      <c r="BI48" s="130">
        <v>68</v>
      </c>
      <c r="BJ48" s="130">
        <v>71</v>
      </c>
      <c r="BK48" s="130" t="s">
        <v>301</v>
      </c>
      <c r="BL48" s="130">
        <v>1</v>
      </c>
      <c r="BM48" s="130" t="s">
        <v>301</v>
      </c>
      <c r="BN48" s="130" t="s">
        <v>301</v>
      </c>
      <c r="BO48" s="130">
        <v>17383</v>
      </c>
      <c r="BP48" s="130">
        <v>2551</v>
      </c>
      <c r="BQ48" s="130">
        <v>9</v>
      </c>
      <c r="BR48" s="130" t="s">
        <v>301</v>
      </c>
      <c r="BS48" s="130" t="s">
        <v>301</v>
      </c>
      <c r="BT48" s="130" t="s">
        <v>301</v>
      </c>
      <c r="BU48" s="130">
        <v>-29</v>
      </c>
      <c r="BV48" s="130" t="s">
        <v>301</v>
      </c>
      <c r="BW48" s="130">
        <v>4789</v>
      </c>
      <c r="BX48" s="130"/>
    </row>
    <row r="49" spans="1:75" x14ac:dyDescent="0.2">
      <c r="A49" s="130" t="s">
        <v>338</v>
      </c>
      <c r="B49" s="130">
        <v>300</v>
      </c>
      <c r="C49" s="130">
        <v>4</v>
      </c>
      <c r="D49" s="130">
        <v>1</v>
      </c>
      <c r="E49" s="130">
        <v>320</v>
      </c>
      <c r="F49" s="131">
        <v>189</v>
      </c>
      <c r="G49" s="130">
        <v>25</v>
      </c>
      <c r="H49" s="130">
        <v>41</v>
      </c>
      <c r="I49" s="130">
        <v>33</v>
      </c>
      <c r="J49" s="130">
        <v>25</v>
      </c>
      <c r="K49" s="130">
        <v>11</v>
      </c>
      <c r="L49" s="130">
        <v>64</v>
      </c>
      <c r="M49" s="130">
        <v>34</v>
      </c>
      <c r="N49" s="130">
        <v>51</v>
      </c>
      <c r="O49" s="130">
        <v>44</v>
      </c>
      <c r="P49" s="130">
        <v>29</v>
      </c>
      <c r="Q49" s="130">
        <v>102</v>
      </c>
      <c r="R49" s="130">
        <v>53</v>
      </c>
      <c r="S49" s="130">
        <v>29</v>
      </c>
      <c r="T49" s="130">
        <v>129</v>
      </c>
      <c r="U49" s="130">
        <v>47</v>
      </c>
      <c r="V49" s="130">
        <v>62</v>
      </c>
      <c r="W49" s="130">
        <v>77</v>
      </c>
      <c r="X49" s="132" t="s">
        <v>301</v>
      </c>
      <c r="Y49" s="130">
        <v>132</v>
      </c>
      <c r="Z49" s="130">
        <v>4</v>
      </c>
      <c r="AA49" s="130">
        <v>83</v>
      </c>
      <c r="AB49" s="131">
        <v>443</v>
      </c>
      <c r="AC49" s="130">
        <v>324</v>
      </c>
      <c r="AD49" s="130">
        <v>1209</v>
      </c>
      <c r="AE49" s="130">
        <v>242</v>
      </c>
      <c r="AF49" s="130">
        <v>450</v>
      </c>
      <c r="AG49" s="130">
        <v>5</v>
      </c>
      <c r="AH49" s="130">
        <v>262</v>
      </c>
      <c r="AI49" s="130">
        <v>610</v>
      </c>
      <c r="AJ49" s="130">
        <v>76</v>
      </c>
      <c r="AK49" s="130">
        <v>479</v>
      </c>
      <c r="AL49" s="130">
        <v>192</v>
      </c>
      <c r="AM49" s="130">
        <v>226</v>
      </c>
      <c r="AN49" s="130">
        <v>5074</v>
      </c>
      <c r="AO49" s="130">
        <v>1274</v>
      </c>
      <c r="AP49" s="130">
        <v>2295</v>
      </c>
      <c r="AQ49" s="130">
        <v>273</v>
      </c>
      <c r="AR49" s="130">
        <v>620</v>
      </c>
      <c r="AS49" s="130" t="s">
        <v>301</v>
      </c>
      <c r="AT49" s="130">
        <v>1536</v>
      </c>
      <c r="AU49" s="130">
        <v>564</v>
      </c>
      <c r="AV49" s="130">
        <v>204</v>
      </c>
      <c r="AW49" s="130">
        <v>28</v>
      </c>
      <c r="AX49" s="130">
        <v>129</v>
      </c>
      <c r="AY49" s="130">
        <v>166</v>
      </c>
      <c r="AZ49" s="130">
        <v>185</v>
      </c>
      <c r="BA49" s="130">
        <v>187</v>
      </c>
      <c r="BB49" s="130">
        <v>105</v>
      </c>
      <c r="BC49" s="130">
        <v>686</v>
      </c>
      <c r="BD49" s="130">
        <v>1613</v>
      </c>
      <c r="BE49" s="130">
        <v>427</v>
      </c>
      <c r="BF49" s="130">
        <v>1048</v>
      </c>
      <c r="BG49" s="130">
        <v>483</v>
      </c>
      <c r="BH49" s="130">
        <v>93</v>
      </c>
      <c r="BI49" s="130">
        <v>51</v>
      </c>
      <c r="BJ49" s="130">
        <v>214</v>
      </c>
      <c r="BK49" s="130" t="s">
        <v>301</v>
      </c>
      <c r="BL49" s="130">
        <v>61</v>
      </c>
      <c r="BM49" s="130" t="s">
        <v>301</v>
      </c>
      <c r="BN49" s="130" t="s">
        <v>301</v>
      </c>
      <c r="BO49" s="130">
        <v>23723</v>
      </c>
      <c r="BP49" s="130">
        <v>42413</v>
      </c>
      <c r="BQ49" s="130">
        <v>79</v>
      </c>
      <c r="BR49" s="130" t="s">
        <v>301</v>
      </c>
      <c r="BS49" s="130" t="s">
        <v>301</v>
      </c>
      <c r="BT49" s="130" t="s">
        <v>301</v>
      </c>
      <c r="BU49" s="130" t="s">
        <v>301</v>
      </c>
      <c r="BV49" s="130" t="s">
        <v>301</v>
      </c>
      <c r="BW49" s="130">
        <v>1858</v>
      </c>
    </row>
    <row r="50" spans="1:75" x14ac:dyDescent="0.2">
      <c r="A50" s="130" t="s">
        <v>339</v>
      </c>
      <c r="B50" s="130">
        <v>8</v>
      </c>
      <c r="C50" s="130">
        <v>10</v>
      </c>
      <c r="D50" s="130">
        <v>2</v>
      </c>
      <c r="E50" s="130">
        <v>1948</v>
      </c>
      <c r="F50" s="131">
        <v>360</v>
      </c>
      <c r="G50" s="130">
        <v>20</v>
      </c>
      <c r="H50" s="130">
        <v>43</v>
      </c>
      <c r="I50" s="130">
        <v>22</v>
      </c>
      <c r="J50" s="130">
        <v>23</v>
      </c>
      <c r="K50" s="130">
        <v>13</v>
      </c>
      <c r="L50" s="130">
        <v>108</v>
      </c>
      <c r="M50" s="130">
        <v>58</v>
      </c>
      <c r="N50" s="130">
        <v>49</v>
      </c>
      <c r="O50" s="130">
        <v>55</v>
      </c>
      <c r="P50" s="130">
        <v>25</v>
      </c>
      <c r="Q50" s="130">
        <v>85</v>
      </c>
      <c r="R50" s="130">
        <v>72</v>
      </c>
      <c r="S50" s="130">
        <v>55</v>
      </c>
      <c r="T50" s="130">
        <v>146</v>
      </c>
      <c r="U50" s="130">
        <v>66</v>
      </c>
      <c r="V50" s="130">
        <v>179</v>
      </c>
      <c r="W50" s="130">
        <v>125</v>
      </c>
      <c r="X50" s="132" t="s">
        <v>301</v>
      </c>
      <c r="Y50" s="130">
        <v>955</v>
      </c>
      <c r="Z50" s="130">
        <v>5</v>
      </c>
      <c r="AA50" s="130">
        <v>333</v>
      </c>
      <c r="AB50" s="131">
        <v>679</v>
      </c>
      <c r="AC50" s="130">
        <v>1113</v>
      </c>
      <c r="AD50" s="130">
        <v>2251</v>
      </c>
      <c r="AE50" s="130">
        <v>2010</v>
      </c>
      <c r="AF50" s="130">
        <v>815</v>
      </c>
      <c r="AG50" s="130">
        <v>3</v>
      </c>
      <c r="AH50" s="130">
        <v>217</v>
      </c>
      <c r="AI50" s="130">
        <v>415</v>
      </c>
      <c r="AJ50" s="130">
        <v>320</v>
      </c>
      <c r="AK50" s="130">
        <v>696</v>
      </c>
      <c r="AL50" s="130">
        <v>1522</v>
      </c>
      <c r="AM50" s="130">
        <v>161</v>
      </c>
      <c r="AN50" s="130">
        <v>1877</v>
      </c>
      <c r="AO50" s="130">
        <v>10559</v>
      </c>
      <c r="AP50" s="130">
        <v>7564</v>
      </c>
      <c r="AQ50" s="130">
        <v>2449</v>
      </c>
      <c r="AR50" s="130">
        <v>743</v>
      </c>
      <c r="AS50" s="130" t="s">
        <v>301</v>
      </c>
      <c r="AT50" s="130">
        <v>1134</v>
      </c>
      <c r="AU50" s="130">
        <v>941</v>
      </c>
      <c r="AV50" s="130">
        <v>2374</v>
      </c>
      <c r="AW50" s="130">
        <v>330</v>
      </c>
      <c r="AX50" s="130">
        <v>430</v>
      </c>
      <c r="AY50" s="130">
        <v>432</v>
      </c>
      <c r="AZ50" s="130">
        <v>188</v>
      </c>
      <c r="BA50" s="130">
        <v>263</v>
      </c>
      <c r="BB50" s="130">
        <v>216</v>
      </c>
      <c r="BC50" s="130">
        <v>911</v>
      </c>
      <c r="BD50" s="130">
        <v>5961</v>
      </c>
      <c r="BE50" s="130">
        <v>854</v>
      </c>
      <c r="BF50" s="130">
        <v>845</v>
      </c>
      <c r="BG50" s="130">
        <v>102</v>
      </c>
      <c r="BH50" s="130">
        <v>254</v>
      </c>
      <c r="BI50" s="130">
        <v>61</v>
      </c>
      <c r="BJ50" s="130">
        <v>370</v>
      </c>
      <c r="BK50" s="130" t="s">
        <v>301</v>
      </c>
      <c r="BL50" s="130">
        <v>99</v>
      </c>
      <c r="BM50" s="130" t="s">
        <v>301</v>
      </c>
      <c r="BN50" s="130" t="s">
        <v>301</v>
      </c>
      <c r="BO50" s="130">
        <v>53924</v>
      </c>
      <c r="BP50" s="130">
        <v>930</v>
      </c>
      <c r="BQ50" s="130" t="s">
        <v>301</v>
      </c>
      <c r="BR50" s="130" t="s">
        <v>301</v>
      </c>
      <c r="BS50" s="130" t="s">
        <v>301</v>
      </c>
      <c r="BT50" s="130">
        <v>34324</v>
      </c>
      <c r="BU50" s="130" t="s">
        <v>301</v>
      </c>
      <c r="BV50" s="130" t="s">
        <v>301</v>
      </c>
      <c r="BW50" s="130">
        <v>16831</v>
      </c>
    </row>
    <row r="51" spans="1:75" x14ac:dyDescent="0.2">
      <c r="A51" s="130" t="s">
        <v>340</v>
      </c>
      <c r="B51" s="130">
        <v>965</v>
      </c>
      <c r="C51" s="130">
        <v>180</v>
      </c>
      <c r="D51" s="130">
        <v>56</v>
      </c>
      <c r="E51" s="130">
        <v>5146</v>
      </c>
      <c r="F51" s="131">
        <v>1473</v>
      </c>
      <c r="G51" s="130">
        <v>124</v>
      </c>
      <c r="H51" s="130">
        <v>743</v>
      </c>
      <c r="I51" s="130">
        <v>528</v>
      </c>
      <c r="J51" s="130">
        <v>174</v>
      </c>
      <c r="K51" s="130">
        <v>455</v>
      </c>
      <c r="L51" s="130">
        <v>731</v>
      </c>
      <c r="M51" s="130">
        <v>185</v>
      </c>
      <c r="N51" s="130">
        <v>407</v>
      </c>
      <c r="O51" s="130">
        <v>428</v>
      </c>
      <c r="P51" s="130">
        <v>616</v>
      </c>
      <c r="Q51" s="130">
        <v>765</v>
      </c>
      <c r="R51" s="130">
        <v>258</v>
      </c>
      <c r="S51" s="130">
        <v>150</v>
      </c>
      <c r="T51" s="130">
        <v>797</v>
      </c>
      <c r="U51" s="130">
        <v>1027</v>
      </c>
      <c r="V51" s="130">
        <v>404</v>
      </c>
      <c r="W51" s="130">
        <v>458</v>
      </c>
      <c r="X51" s="132" t="s">
        <v>301</v>
      </c>
      <c r="Y51" s="130">
        <v>923</v>
      </c>
      <c r="Z51" s="130">
        <v>6</v>
      </c>
      <c r="AA51" s="130">
        <v>227</v>
      </c>
      <c r="AB51" s="131">
        <v>5267</v>
      </c>
      <c r="AC51" s="130">
        <v>1899</v>
      </c>
      <c r="AD51" s="130">
        <v>3961</v>
      </c>
      <c r="AE51" s="130">
        <v>5087</v>
      </c>
      <c r="AF51" s="130">
        <v>1482</v>
      </c>
      <c r="AG51" s="130">
        <v>50</v>
      </c>
      <c r="AH51" s="130">
        <v>623</v>
      </c>
      <c r="AI51" s="130">
        <v>980</v>
      </c>
      <c r="AJ51" s="130">
        <v>214</v>
      </c>
      <c r="AK51" s="130">
        <v>2758</v>
      </c>
      <c r="AL51" s="130">
        <v>269</v>
      </c>
      <c r="AM51" s="130">
        <v>226</v>
      </c>
      <c r="AN51" s="130">
        <v>708</v>
      </c>
      <c r="AO51" s="130">
        <v>545</v>
      </c>
      <c r="AP51" s="130">
        <v>18068</v>
      </c>
      <c r="AQ51" s="130">
        <v>2666</v>
      </c>
      <c r="AR51" s="130">
        <v>823</v>
      </c>
      <c r="AS51" s="130">
        <v>6728</v>
      </c>
      <c r="AT51" s="130">
        <v>5779</v>
      </c>
      <c r="AU51" s="130">
        <v>608</v>
      </c>
      <c r="AV51" s="130">
        <v>299</v>
      </c>
      <c r="AW51" s="130">
        <v>142</v>
      </c>
      <c r="AX51" s="130">
        <v>166</v>
      </c>
      <c r="AY51" s="130">
        <v>208</v>
      </c>
      <c r="AZ51" s="130">
        <v>707</v>
      </c>
      <c r="BA51" s="130">
        <v>174</v>
      </c>
      <c r="BB51" s="130">
        <v>280</v>
      </c>
      <c r="BC51" s="130">
        <v>929</v>
      </c>
      <c r="BD51" s="130">
        <v>1499</v>
      </c>
      <c r="BE51" s="130">
        <v>130</v>
      </c>
      <c r="BF51" s="130">
        <v>761</v>
      </c>
      <c r="BG51" s="130">
        <v>260</v>
      </c>
      <c r="BH51" s="130">
        <v>251</v>
      </c>
      <c r="BI51" s="130">
        <v>267</v>
      </c>
      <c r="BJ51" s="130">
        <v>90</v>
      </c>
      <c r="BK51" s="130" t="s">
        <v>301</v>
      </c>
      <c r="BL51" s="130">
        <v>415</v>
      </c>
      <c r="BM51" s="130" t="s">
        <v>301</v>
      </c>
      <c r="BN51" s="130" t="s">
        <v>301</v>
      </c>
      <c r="BO51" s="130">
        <v>82545</v>
      </c>
      <c r="BP51" s="130">
        <v>68117</v>
      </c>
      <c r="BQ51" s="130" t="s">
        <v>301</v>
      </c>
      <c r="BR51" s="130" t="s">
        <v>301</v>
      </c>
      <c r="BS51" s="130" t="s">
        <v>301</v>
      </c>
      <c r="BT51" s="130" t="s">
        <v>301</v>
      </c>
      <c r="BU51" s="130" t="s">
        <v>301</v>
      </c>
      <c r="BV51" s="130" t="s">
        <v>301</v>
      </c>
      <c r="BW51" s="130">
        <v>8313</v>
      </c>
    </row>
    <row r="52" spans="1:75" x14ac:dyDescent="0.2">
      <c r="A52" s="130" t="s">
        <v>341</v>
      </c>
      <c r="B52" s="130">
        <v>605</v>
      </c>
      <c r="C52" s="130">
        <v>64</v>
      </c>
      <c r="D52" s="130">
        <v>11</v>
      </c>
      <c r="E52" s="130">
        <v>931</v>
      </c>
      <c r="F52" s="131">
        <v>252</v>
      </c>
      <c r="G52" s="130">
        <v>42</v>
      </c>
      <c r="H52" s="130">
        <v>161</v>
      </c>
      <c r="I52" s="130">
        <v>84</v>
      </c>
      <c r="J52" s="130">
        <v>25</v>
      </c>
      <c r="K52" s="130">
        <v>41</v>
      </c>
      <c r="L52" s="130">
        <v>180</v>
      </c>
      <c r="M52" s="130">
        <v>46</v>
      </c>
      <c r="N52" s="130">
        <v>79</v>
      </c>
      <c r="O52" s="130">
        <v>76</v>
      </c>
      <c r="P52" s="130">
        <v>130</v>
      </c>
      <c r="Q52" s="130">
        <v>146</v>
      </c>
      <c r="R52" s="130">
        <v>58</v>
      </c>
      <c r="S52" s="130">
        <v>27</v>
      </c>
      <c r="T52" s="130">
        <v>211</v>
      </c>
      <c r="U52" s="130">
        <v>87</v>
      </c>
      <c r="V52" s="130">
        <v>112</v>
      </c>
      <c r="W52" s="130">
        <v>108</v>
      </c>
      <c r="X52" s="132" t="s">
        <v>301</v>
      </c>
      <c r="Y52" s="130">
        <v>429</v>
      </c>
      <c r="Z52" s="130">
        <v>9</v>
      </c>
      <c r="AA52" s="130">
        <v>270</v>
      </c>
      <c r="AB52" s="131">
        <v>1672</v>
      </c>
      <c r="AC52" s="130">
        <v>992</v>
      </c>
      <c r="AD52" s="130">
        <v>2435</v>
      </c>
      <c r="AE52" s="130">
        <v>3489</v>
      </c>
      <c r="AF52" s="130">
        <v>1870</v>
      </c>
      <c r="AG52" s="130">
        <v>48</v>
      </c>
      <c r="AH52" s="130">
        <v>79</v>
      </c>
      <c r="AI52" s="130">
        <v>395</v>
      </c>
      <c r="AJ52" s="130">
        <v>55</v>
      </c>
      <c r="AK52" s="130">
        <v>535</v>
      </c>
      <c r="AL52" s="130">
        <v>33</v>
      </c>
      <c r="AM52" s="130">
        <v>87</v>
      </c>
      <c r="AN52" s="130">
        <v>63</v>
      </c>
      <c r="AO52" s="130">
        <v>169</v>
      </c>
      <c r="AP52" s="130">
        <v>393</v>
      </c>
      <c r="AQ52" s="130">
        <v>16778</v>
      </c>
      <c r="AR52" s="130">
        <v>110</v>
      </c>
      <c r="AS52" s="130">
        <v>1379</v>
      </c>
      <c r="AT52" s="130">
        <v>1287</v>
      </c>
      <c r="AU52" s="130">
        <v>307</v>
      </c>
      <c r="AV52" s="130">
        <v>448</v>
      </c>
      <c r="AW52" s="130">
        <v>11</v>
      </c>
      <c r="AX52" s="130">
        <v>77</v>
      </c>
      <c r="AY52" s="130">
        <v>35</v>
      </c>
      <c r="AZ52" s="130">
        <v>303</v>
      </c>
      <c r="BA52" s="130">
        <v>20</v>
      </c>
      <c r="BB52" s="130">
        <v>66</v>
      </c>
      <c r="BC52" s="130">
        <v>175</v>
      </c>
      <c r="BD52" s="130">
        <v>352</v>
      </c>
      <c r="BE52" s="130">
        <v>95</v>
      </c>
      <c r="BF52" s="130">
        <v>216</v>
      </c>
      <c r="BG52" s="130">
        <v>74</v>
      </c>
      <c r="BH52" s="130">
        <v>104</v>
      </c>
      <c r="BI52" s="130">
        <v>103</v>
      </c>
      <c r="BJ52" s="130">
        <v>147</v>
      </c>
      <c r="BK52" s="130" t="s">
        <v>301</v>
      </c>
      <c r="BL52" s="130">
        <v>87</v>
      </c>
      <c r="BM52" s="130" t="s">
        <v>301</v>
      </c>
      <c r="BN52" s="130" t="s">
        <v>301</v>
      </c>
      <c r="BO52" s="130">
        <v>38673</v>
      </c>
      <c r="BP52" s="130">
        <v>36182</v>
      </c>
      <c r="BQ52" s="130" t="s">
        <v>301</v>
      </c>
      <c r="BR52" s="130" t="s">
        <v>301</v>
      </c>
      <c r="BS52" s="130" t="s">
        <v>301</v>
      </c>
      <c r="BT52" s="130" t="s">
        <v>301</v>
      </c>
      <c r="BU52" s="130" t="s">
        <v>301</v>
      </c>
      <c r="BV52" s="130" t="s">
        <v>301</v>
      </c>
      <c r="BW52" s="130">
        <v>1779</v>
      </c>
    </row>
    <row r="53" spans="1:75" x14ac:dyDescent="0.2">
      <c r="A53" s="130" t="s">
        <v>342</v>
      </c>
      <c r="B53" s="130">
        <v>68</v>
      </c>
      <c r="C53" s="130">
        <v>14</v>
      </c>
      <c r="D53" s="130">
        <v>4</v>
      </c>
      <c r="E53" s="130">
        <v>724</v>
      </c>
      <c r="F53" s="131">
        <v>108</v>
      </c>
      <c r="G53" s="130">
        <v>7</v>
      </c>
      <c r="H53" s="130">
        <v>41</v>
      </c>
      <c r="I53" s="130">
        <v>71</v>
      </c>
      <c r="J53" s="130">
        <v>12</v>
      </c>
      <c r="K53" s="130">
        <v>112</v>
      </c>
      <c r="L53" s="130">
        <v>55</v>
      </c>
      <c r="M53" s="130">
        <v>3</v>
      </c>
      <c r="N53" s="130">
        <v>33</v>
      </c>
      <c r="O53" s="130">
        <v>22</v>
      </c>
      <c r="P53" s="130">
        <v>99</v>
      </c>
      <c r="Q53" s="130">
        <v>45</v>
      </c>
      <c r="R53" s="130">
        <v>48</v>
      </c>
      <c r="S53" s="130">
        <v>14</v>
      </c>
      <c r="T53" s="130">
        <v>45</v>
      </c>
      <c r="U53" s="130">
        <v>108</v>
      </c>
      <c r="V53" s="130">
        <v>143</v>
      </c>
      <c r="W53" s="130">
        <v>33</v>
      </c>
      <c r="X53" s="132" t="s">
        <v>301</v>
      </c>
      <c r="Y53" s="130">
        <v>108</v>
      </c>
      <c r="Z53" s="130" t="s">
        <v>301</v>
      </c>
      <c r="AA53" s="130">
        <v>31</v>
      </c>
      <c r="AB53" s="131">
        <v>647</v>
      </c>
      <c r="AC53" s="130">
        <v>70</v>
      </c>
      <c r="AD53" s="130">
        <v>155</v>
      </c>
      <c r="AE53" s="130">
        <v>146</v>
      </c>
      <c r="AF53" s="130">
        <v>189</v>
      </c>
      <c r="AG53" s="130">
        <v>3</v>
      </c>
      <c r="AH53" s="130">
        <v>115</v>
      </c>
      <c r="AI53" s="130">
        <v>72</v>
      </c>
      <c r="AJ53" s="130">
        <v>23</v>
      </c>
      <c r="AK53" s="130">
        <v>120</v>
      </c>
      <c r="AL53" s="130">
        <v>56</v>
      </c>
      <c r="AM53" s="130">
        <v>58</v>
      </c>
      <c r="AN53" s="130">
        <v>190</v>
      </c>
      <c r="AO53" s="130">
        <v>83</v>
      </c>
      <c r="AP53" s="130">
        <v>27963</v>
      </c>
      <c r="AQ53" s="130">
        <v>1177</v>
      </c>
      <c r="AR53" s="130">
        <v>192</v>
      </c>
      <c r="AS53" s="130" t="s">
        <v>301</v>
      </c>
      <c r="AT53" s="130">
        <v>487</v>
      </c>
      <c r="AU53" s="130">
        <v>64</v>
      </c>
      <c r="AV53" s="130">
        <v>26</v>
      </c>
      <c r="AW53" s="130">
        <v>19</v>
      </c>
      <c r="AX53" s="130">
        <v>17</v>
      </c>
      <c r="AY53" s="130">
        <v>26</v>
      </c>
      <c r="AZ53" s="130">
        <v>57</v>
      </c>
      <c r="BA53" s="130">
        <v>14</v>
      </c>
      <c r="BB53" s="130">
        <v>6</v>
      </c>
      <c r="BC53" s="130">
        <v>91</v>
      </c>
      <c r="BD53" s="130">
        <v>3750</v>
      </c>
      <c r="BE53" s="130">
        <v>29</v>
      </c>
      <c r="BF53" s="130">
        <v>193</v>
      </c>
      <c r="BG53" s="130">
        <v>25</v>
      </c>
      <c r="BH53" s="130">
        <v>17</v>
      </c>
      <c r="BI53" s="130">
        <v>12</v>
      </c>
      <c r="BJ53" s="130">
        <v>5</v>
      </c>
      <c r="BK53" s="130" t="s">
        <v>301</v>
      </c>
      <c r="BL53" s="130">
        <v>24</v>
      </c>
      <c r="BM53" s="130" t="s">
        <v>301</v>
      </c>
      <c r="BN53" s="130" t="s">
        <v>301</v>
      </c>
      <c r="BO53" s="130">
        <v>38069</v>
      </c>
      <c r="BP53" s="130">
        <v>5436</v>
      </c>
      <c r="BQ53" s="130" t="s">
        <v>301</v>
      </c>
      <c r="BR53" s="130" t="s">
        <v>301</v>
      </c>
      <c r="BS53" s="130" t="s">
        <v>301</v>
      </c>
      <c r="BT53" s="130" t="s">
        <v>301</v>
      </c>
      <c r="BU53" s="130" t="s">
        <v>301</v>
      </c>
      <c r="BV53" s="130" t="s">
        <v>301</v>
      </c>
      <c r="BW53" s="130">
        <v>3524</v>
      </c>
    </row>
    <row r="54" spans="1:75" x14ac:dyDescent="0.2">
      <c r="A54" s="130" t="s">
        <v>343</v>
      </c>
      <c r="B54" s="130" t="s">
        <v>301</v>
      </c>
      <c r="C54" s="130" t="s">
        <v>301</v>
      </c>
      <c r="D54" s="130" t="s">
        <v>301</v>
      </c>
      <c r="E54" s="130" t="s">
        <v>301</v>
      </c>
      <c r="F54" s="131" t="s">
        <v>301</v>
      </c>
      <c r="G54" s="130" t="s">
        <v>301</v>
      </c>
      <c r="H54" s="130" t="s">
        <v>301</v>
      </c>
      <c r="I54" s="130" t="s">
        <v>301</v>
      </c>
      <c r="J54" s="130" t="s">
        <v>301</v>
      </c>
      <c r="K54" s="130" t="s">
        <v>301</v>
      </c>
      <c r="L54" s="130" t="s">
        <v>301</v>
      </c>
      <c r="M54" s="130" t="s">
        <v>301</v>
      </c>
      <c r="N54" s="130" t="s">
        <v>301</v>
      </c>
      <c r="O54" s="130" t="s">
        <v>301</v>
      </c>
      <c r="P54" s="130" t="s">
        <v>301</v>
      </c>
      <c r="Q54" s="130" t="s">
        <v>301</v>
      </c>
      <c r="R54" s="130" t="s">
        <v>301</v>
      </c>
      <c r="S54" s="130" t="s">
        <v>301</v>
      </c>
      <c r="T54" s="130" t="s">
        <v>301</v>
      </c>
      <c r="U54" s="130" t="s">
        <v>301</v>
      </c>
      <c r="V54" s="130" t="s">
        <v>301</v>
      </c>
      <c r="W54" s="130" t="s">
        <v>301</v>
      </c>
      <c r="X54" s="132" t="s">
        <v>301</v>
      </c>
      <c r="Y54" s="130" t="s">
        <v>301</v>
      </c>
      <c r="Z54" s="130" t="s">
        <v>301</v>
      </c>
      <c r="AA54" s="130" t="s">
        <v>301</v>
      </c>
      <c r="AB54" s="131" t="s">
        <v>301</v>
      </c>
      <c r="AC54" s="130" t="s">
        <v>301</v>
      </c>
      <c r="AD54" s="130" t="s">
        <v>301</v>
      </c>
      <c r="AE54" s="130" t="s">
        <v>301</v>
      </c>
      <c r="AF54" s="130" t="s">
        <v>301</v>
      </c>
      <c r="AG54" s="130" t="s">
        <v>301</v>
      </c>
      <c r="AH54" s="130" t="s">
        <v>301</v>
      </c>
      <c r="AI54" s="130" t="s">
        <v>301</v>
      </c>
      <c r="AJ54" s="130" t="s">
        <v>301</v>
      </c>
      <c r="AK54" s="130" t="s">
        <v>301</v>
      </c>
      <c r="AL54" s="130" t="s">
        <v>301</v>
      </c>
      <c r="AM54" s="130" t="s">
        <v>301</v>
      </c>
      <c r="AN54" s="130" t="s">
        <v>301</v>
      </c>
      <c r="AO54" s="130" t="s">
        <v>301</v>
      </c>
      <c r="AP54" s="130" t="s">
        <v>301</v>
      </c>
      <c r="AQ54" s="130" t="s">
        <v>301</v>
      </c>
      <c r="AR54" s="130" t="s">
        <v>301</v>
      </c>
      <c r="AS54" s="130" t="s">
        <v>301</v>
      </c>
      <c r="AT54" s="130" t="s">
        <v>301</v>
      </c>
      <c r="AU54" s="130" t="s">
        <v>301</v>
      </c>
      <c r="AV54" s="130" t="s">
        <v>301</v>
      </c>
      <c r="AW54" s="130" t="s">
        <v>301</v>
      </c>
      <c r="AX54" s="130" t="s">
        <v>301</v>
      </c>
      <c r="AY54" s="130" t="s">
        <v>301</v>
      </c>
      <c r="AZ54" s="130" t="s">
        <v>301</v>
      </c>
      <c r="BA54" s="130" t="s">
        <v>301</v>
      </c>
      <c r="BB54" s="130" t="s">
        <v>301</v>
      </c>
      <c r="BC54" s="130" t="s">
        <v>301</v>
      </c>
      <c r="BD54" s="130" t="s">
        <v>301</v>
      </c>
      <c r="BE54" s="130" t="s">
        <v>301</v>
      </c>
      <c r="BF54" s="130" t="s">
        <v>301</v>
      </c>
      <c r="BG54" s="130" t="s">
        <v>301</v>
      </c>
      <c r="BH54" s="130" t="s">
        <v>301</v>
      </c>
      <c r="BI54" s="130" t="s">
        <v>301</v>
      </c>
      <c r="BJ54" s="130" t="s">
        <v>301</v>
      </c>
      <c r="BK54" s="130" t="s">
        <v>301</v>
      </c>
      <c r="BL54" s="130" t="s">
        <v>301</v>
      </c>
      <c r="BM54" s="130" t="s">
        <v>301</v>
      </c>
      <c r="BN54" s="130" t="s">
        <v>301</v>
      </c>
      <c r="BO54" s="130">
        <v>0</v>
      </c>
      <c r="BP54" s="130">
        <v>192196</v>
      </c>
      <c r="BQ54" s="130" t="s">
        <v>301</v>
      </c>
      <c r="BR54" s="130" t="s">
        <v>301</v>
      </c>
      <c r="BS54" s="130" t="s">
        <v>301</v>
      </c>
      <c r="BT54" s="130" t="s">
        <v>301</v>
      </c>
      <c r="BU54" s="130" t="s">
        <v>301</v>
      </c>
      <c r="BV54" s="130" t="s">
        <v>301</v>
      </c>
      <c r="BW54" s="130" t="s">
        <v>301</v>
      </c>
    </row>
    <row r="55" spans="1:75" x14ac:dyDescent="0.2">
      <c r="A55" s="130" t="s">
        <v>344</v>
      </c>
      <c r="B55" s="130">
        <v>150</v>
      </c>
      <c r="C55" s="130">
        <v>85</v>
      </c>
      <c r="D55" s="130">
        <v>1</v>
      </c>
      <c r="E55" s="130">
        <v>265</v>
      </c>
      <c r="F55" s="131">
        <v>255</v>
      </c>
      <c r="G55" s="130">
        <v>66</v>
      </c>
      <c r="H55" s="130">
        <v>96</v>
      </c>
      <c r="I55" s="130">
        <v>78</v>
      </c>
      <c r="J55" s="130">
        <v>116</v>
      </c>
      <c r="K55" s="130">
        <v>23</v>
      </c>
      <c r="L55" s="130">
        <v>89</v>
      </c>
      <c r="M55" s="130">
        <v>43</v>
      </c>
      <c r="N55" s="130">
        <v>165</v>
      </c>
      <c r="O55" s="130">
        <v>73</v>
      </c>
      <c r="P55" s="130">
        <v>41</v>
      </c>
      <c r="Q55" s="130">
        <v>337</v>
      </c>
      <c r="R55" s="130">
        <v>119</v>
      </c>
      <c r="S55" s="130">
        <v>47</v>
      </c>
      <c r="T55" s="130">
        <v>339</v>
      </c>
      <c r="U55" s="130">
        <v>145</v>
      </c>
      <c r="V55" s="130">
        <v>70</v>
      </c>
      <c r="W55" s="130">
        <v>308</v>
      </c>
      <c r="X55" s="132" t="s">
        <v>301</v>
      </c>
      <c r="Y55" s="130">
        <v>464</v>
      </c>
      <c r="Z55" s="130">
        <v>12</v>
      </c>
      <c r="AA55" s="130">
        <v>196</v>
      </c>
      <c r="AB55" s="131">
        <v>1506</v>
      </c>
      <c r="AC55" s="130">
        <v>2576</v>
      </c>
      <c r="AD55" s="130">
        <v>3585</v>
      </c>
      <c r="AE55" s="130">
        <v>12406</v>
      </c>
      <c r="AF55" s="130">
        <v>618</v>
      </c>
      <c r="AG55" s="130">
        <v>10</v>
      </c>
      <c r="AH55" s="130">
        <v>57</v>
      </c>
      <c r="AI55" s="130">
        <v>1173</v>
      </c>
      <c r="AJ55" s="130">
        <v>278</v>
      </c>
      <c r="AK55" s="130">
        <v>3554</v>
      </c>
      <c r="AL55" s="130">
        <v>381</v>
      </c>
      <c r="AM55" s="130">
        <v>438</v>
      </c>
      <c r="AN55" s="130">
        <v>989</v>
      </c>
      <c r="AO55" s="130">
        <v>1692</v>
      </c>
      <c r="AP55" s="130">
        <v>2429</v>
      </c>
      <c r="AQ55" s="130">
        <v>625</v>
      </c>
      <c r="AR55" s="130">
        <v>385</v>
      </c>
      <c r="AS55" s="130">
        <v>835</v>
      </c>
      <c r="AT55" s="130">
        <v>5862</v>
      </c>
      <c r="AU55" s="130">
        <v>2081</v>
      </c>
      <c r="AV55" s="130">
        <v>1156</v>
      </c>
      <c r="AW55" s="130">
        <v>74</v>
      </c>
      <c r="AX55" s="130">
        <v>385</v>
      </c>
      <c r="AY55" s="130">
        <v>655</v>
      </c>
      <c r="AZ55" s="130">
        <v>535</v>
      </c>
      <c r="BA55" s="130">
        <v>332</v>
      </c>
      <c r="BB55" s="130">
        <v>255</v>
      </c>
      <c r="BC55" s="130">
        <v>1797</v>
      </c>
      <c r="BD55" s="130">
        <v>5255</v>
      </c>
      <c r="BE55" s="130">
        <v>1302</v>
      </c>
      <c r="BF55" s="130">
        <v>3428</v>
      </c>
      <c r="BG55" s="130">
        <v>867</v>
      </c>
      <c r="BH55" s="130">
        <v>576</v>
      </c>
      <c r="BI55" s="130">
        <v>665</v>
      </c>
      <c r="BJ55" s="130">
        <v>2472</v>
      </c>
      <c r="BK55" s="130" t="s">
        <v>301</v>
      </c>
      <c r="BL55" s="130">
        <v>996</v>
      </c>
      <c r="BM55" s="130" t="s">
        <v>301</v>
      </c>
      <c r="BN55" s="130" t="s">
        <v>301</v>
      </c>
      <c r="BO55" s="130">
        <v>65813</v>
      </c>
      <c r="BP55" s="130">
        <v>65159</v>
      </c>
      <c r="BQ55" s="130">
        <v>1483</v>
      </c>
      <c r="BR55" s="130">
        <v>3061</v>
      </c>
      <c r="BS55" s="130" t="s">
        <v>301</v>
      </c>
      <c r="BT55" s="130">
        <v>24793</v>
      </c>
      <c r="BU55" s="130" t="s">
        <v>301</v>
      </c>
      <c r="BV55" s="130" t="s">
        <v>301</v>
      </c>
      <c r="BW55" s="130">
        <v>164</v>
      </c>
    </row>
    <row r="56" spans="1:75" x14ac:dyDescent="0.2">
      <c r="A56" s="130" t="s">
        <v>345</v>
      </c>
      <c r="B56" s="130">
        <v>1642</v>
      </c>
      <c r="C56" s="130">
        <v>79</v>
      </c>
      <c r="D56" s="130">
        <v>5</v>
      </c>
      <c r="E56" s="130">
        <v>4263</v>
      </c>
      <c r="F56" s="131">
        <v>1645</v>
      </c>
      <c r="G56" s="130">
        <v>66</v>
      </c>
      <c r="H56" s="130">
        <v>323</v>
      </c>
      <c r="I56" s="130">
        <v>320</v>
      </c>
      <c r="J56" s="130">
        <v>148</v>
      </c>
      <c r="K56" s="130">
        <v>132</v>
      </c>
      <c r="L56" s="130">
        <v>627</v>
      </c>
      <c r="M56" s="130">
        <v>165</v>
      </c>
      <c r="N56" s="130">
        <v>299</v>
      </c>
      <c r="O56" s="130">
        <v>429</v>
      </c>
      <c r="P56" s="130">
        <v>371</v>
      </c>
      <c r="Q56" s="130">
        <v>220</v>
      </c>
      <c r="R56" s="130">
        <v>185</v>
      </c>
      <c r="S56" s="130">
        <v>74</v>
      </c>
      <c r="T56" s="130">
        <v>292</v>
      </c>
      <c r="U56" s="130">
        <v>326</v>
      </c>
      <c r="V56" s="130">
        <v>739</v>
      </c>
      <c r="W56" s="130">
        <v>136</v>
      </c>
      <c r="X56" s="132" t="s">
        <v>301</v>
      </c>
      <c r="Y56" s="130">
        <v>1719</v>
      </c>
      <c r="Z56" s="130">
        <v>4</v>
      </c>
      <c r="AA56" s="130">
        <v>110</v>
      </c>
      <c r="AB56" s="131">
        <v>3570</v>
      </c>
      <c r="AC56" s="130">
        <v>1379</v>
      </c>
      <c r="AD56" s="130">
        <v>5289</v>
      </c>
      <c r="AE56" s="130">
        <v>6168</v>
      </c>
      <c r="AF56" s="130">
        <v>961</v>
      </c>
      <c r="AG56" s="130">
        <v>4</v>
      </c>
      <c r="AH56" s="130">
        <v>163</v>
      </c>
      <c r="AI56" s="130">
        <v>223</v>
      </c>
      <c r="AJ56" s="130">
        <v>50</v>
      </c>
      <c r="AK56" s="130">
        <v>682</v>
      </c>
      <c r="AL56" s="130">
        <v>256</v>
      </c>
      <c r="AM56" s="130">
        <v>274</v>
      </c>
      <c r="AN56" s="130">
        <v>231</v>
      </c>
      <c r="AO56" s="130">
        <v>601</v>
      </c>
      <c r="AP56" s="130">
        <v>2929</v>
      </c>
      <c r="AQ56" s="130">
        <v>838</v>
      </c>
      <c r="AR56" s="130">
        <v>1162</v>
      </c>
      <c r="AS56" s="130" t="s">
        <v>301</v>
      </c>
      <c r="AT56" s="130">
        <v>2755</v>
      </c>
      <c r="AU56" s="130">
        <v>1275</v>
      </c>
      <c r="AV56" s="130">
        <v>244</v>
      </c>
      <c r="AW56" s="130">
        <v>26</v>
      </c>
      <c r="AX56" s="130">
        <v>144</v>
      </c>
      <c r="AY56" s="130">
        <v>190</v>
      </c>
      <c r="AZ56" s="130">
        <v>506</v>
      </c>
      <c r="BA56" s="130">
        <v>301</v>
      </c>
      <c r="BB56" s="130">
        <v>204</v>
      </c>
      <c r="BC56" s="130">
        <v>1029</v>
      </c>
      <c r="BD56" s="130">
        <v>2833</v>
      </c>
      <c r="BE56" s="130">
        <v>487</v>
      </c>
      <c r="BF56" s="130">
        <v>1708</v>
      </c>
      <c r="BG56" s="130">
        <v>260</v>
      </c>
      <c r="BH56" s="130">
        <v>138</v>
      </c>
      <c r="BI56" s="130">
        <v>149</v>
      </c>
      <c r="BJ56" s="130">
        <v>706</v>
      </c>
      <c r="BK56" s="130" t="s">
        <v>301</v>
      </c>
      <c r="BL56" s="130">
        <v>334</v>
      </c>
      <c r="BM56" s="130" t="s">
        <v>301</v>
      </c>
      <c r="BN56" s="130" t="s">
        <v>301</v>
      </c>
      <c r="BO56" s="130">
        <v>52388</v>
      </c>
      <c r="BP56" s="130">
        <v>4434</v>
      </c>
      <c r="BQ56" s="130" t="s">
        <v>301</v>
      </c>
      <c r="BR56" s="130" t="s">
        <v>301</v>
      </c>
      <c r="BS56" s="130" t="s">
        <v>301</v>
      </c>
      <c r="BT56" s="130">
        <v>3538</v>
      </c>
      <c r="BU56" s="130" t="s">
        <v>301</v>
      </c>
      <c r="BV56" s="130" t="s">
        <v>301</v>
      </c>
      <c r="BW56" s="130">
        <v>2433</v>
      </c>
    </row>
    <row r="57" spans="1:75" x14ac:dyDescent="0.2">
      <c r="A57" s="130" t="s">
        <v>346</v>
      </c>
      <c r="B57" s="130">
        <v>8</v>
      </c>
      <c r="C57" s="130">
        <v>172</v>
      </c>
      <c r="D57" s="130">
        <v>8</v>
      </c>
      <c r="E57" s="130">
        <v>6398</v>
      </c>
      <c r="F57" s="131">
        <v>464</v>
      </c>
      <c r="G57" s="130">
        <v>55</v>
      </c>
      <c r="H57" s="130">
        <v>147</v>
      </c>
      <c r="I57" s="130">
        <v>156</v>
      </c>
      <c r="J57" s="130">
        <v>45</v>
      </c>
      <c r="K57" s="130">
        <v>168</v>
      </c>
      <c r="L57" s="130">
        <v>276</v>
      </c>
      <c r="M57" s="130">
        <v>483</v>
      </c>
      <c r="N57" s="130">
        <v>153</v>
      </c>
      <c r="O57" s="130">
        <v>160</v>
      </c>
      <c r="P57" s="130">
        <v>269</v>
      </c>
      <c r="Q57" s="130">
        <v>229</v>
      </c>
      <c r="R57" s="130">
        <v>402</v>
      </c>
      <c r="S57" s="130">
        <v>101</v>
      </c>
      <c r="T57" s="130">
        <v>415</v>
      </c>
      <c r="U57" s="130">
        <v>156</v>
      </c>
      <c r="V57" s="130">
        <v>515</v>
      </c>
      <c r="W57" s="130">
        <v>184</v>
      </c>
      <c r="X57" s="132" t="s">
        <v>301</v>
      </c>
      <c r="Y57" s="130">
        <v>1038</v>
      </c>
      <c r="Z57" s="130">
        <v>24</v>
      </c>
      <c r="AA57" s="130">
        <v>173</v>
      </c>
      <c r="AB57" s="131">
        <v>23272</v>
      </c>
      <c r="AC57" s="130">
        <v>1283</v>
      </c>
      <c r="AD57" s="130">
        <v>2954</v>
      </c>
      <c r="AE57" s="130">
        <v>1779</v>
      </c>
      <c r="AF57" s="130">
        <v>241</v>
      </c>
      <c r="AG57" s="130">
        <v>6</v>
      </c>
      <c r="AH57" s="130">
        <v>190</v>
      </c>
      <c r="AI57" s="130">
        <v>374</v>
      </c>
      <c r="AJ57" s="130">
        <v>35</v>
      </c>
      <c r="AK57" s="130">
        <v>285</v>
      </c>
      <c r="AL57" s="130">
        <v>128</v>
      </c>
      <c r="AM57" s="130">
        <v>33</v>
      </c>
      <c r="AN57" s="130">
        <v>1236</v>
      </c>
      <c r="AO57" s="130">
        <v>194</v>
      </c>
      <c r="AP57" s="130">
        <v>3482</v>
      </c>
      <c r="AQ57" s="130">
        <v>122</v>
      </c>
      <c r="AR57" s="130">
        <v>294</v>
      </c>
      <c r="AS57" s="130" t="s">
        <v>301</v>
      </c>
      <c r="AT57" s="130">
        <v>1442</v>
      </c>
      <c r="AU57" s="130">
        <v>2260</v>
      </c>
      <c r="AV57" s="130">
        <v>1796</v>
      </c>
      <c r="AW57" s="130">
        <v>777</v>
      </c>
      <c r="AX57" s="130">
        <v>145</v>
      </c>
      <c r="AY57" s="130">
        <v>1632</v>
      </c>
      <c r="AZ57" s="130">
        <v>160</v>
      </c>
      <c r="BA57" s="130">
        <v>398</v>
      </c>
      <c r="BB57" s="130">
        <v>57</v>
      </c>
      <c r="BC57" s="130">
        <v>1215</v>
      </c>
      <c r="BD57" s="130">
        <v>5832</v>
      </c>
      <c r="BE57" s="130">
        <v>841</v>
      </c>
      <c r="BF57" s="130">
        <v>592</v>
      </c>
      <c r="BG57" s="130">
        <v>15</v>
      </c>
      <c r="BH57" s="130">
        <v>56</v>
      </c>
      <c r="BI57" s="130">
        <v>115</v>
      </c>
      <c r="BJ57" s="130">
        <v>269</v>
      </c>
      <c r="BK57" s="130" t="s">
        <v>301</v>
      </c>
      <c r="BL57" s="130">
        <v>46</v>
      </c>
      <c r="BM57" s="130" t="s">
        <v>301</v>
      </c>
      <c r="BN57" s="130" t="s">
        <v>301</v>
      </c>
      <c r="BO57" s="130">
        <v>65755</v>
      </c>
      <c r="BP57" s="130" t="s">
        <v>301</v>
      </c>
      <c r="BQ57" s="130" t="s">
        <v>301</v>
      </c>
      <c r="BR57" s="130" t="s">
        <v>301</v>
      </c>
      <c r="BS57" s="130" t="s">
        <v>301</v>
      </c>
      <c r="BT57" s="130">
        <v>1065</v>
      </c>
      <c r="BU57" s="130" t="s">
        <v>301</v>
      </c>
      <c r="BV57" s="130" t="s">
        <v>301</v>
      </c>
      <c r="BW57" s="130">
        <v>9885</v>
      </c>
    </row>
    <row r="58" spans="1:75" x14ac:dyDescent="0.2">
      <c r="A58" s="130" t="s">
        <v>347</v>
      </c>
      <c r="B58" s="130" t="s">
        <v>301</v>
      </c>
      <c r="C58" s="130" t="s">
        <v>301</v>
      </c>
      <c r="D58" s="130" t="s">
        <v>301</v>
      </c>
      <c r="E58" s="130" t="s">
        <v>301</v>
      </c>
      <c r="F58" s="131" t="s">
        <v>301</v>
      </c>
      <c r="G58" s="130" t="s">
        <v>301</v>
      </c>
      <c r="H58" s="130" t="s">
        <v>301</v>
      </c>
      <c r="I58" s="130" t="s">
        <v>301</v>
      </c>
      <c r="J58" s="130" t="s">
        <v>301</v>
      </c>
      <c r="K58" s="130" t="s">
        <v>301</v>
      </c>
      <c r="L58" s="130" t="s">
        <v>301</v>
      </c>
      <c r="M58" s="130" t="s">
        <v>301</v>
      </c>
      <c r="N58" s="130" t="s">
        <v>301</v>
      </c>
      <c r="O58" s="130" t="s">
        <v>301</v>
      </c>
      <c r="P58" s="130" t="s">
        <v>301</v>
      </c>
      <c r="Q58" s="130" t="s">
        <v>301</v>
      </c>
      <c r="R58" s="130" t="s">
        <v>301</v>
      </c>
      <c r="S58" s="130" t="s">
        <v>301</v>
      </c>
      <c r="T58" s="130" t="s">
        <v>301</v>
      </c>
      <c r="U58" s="130" t="s">
        <v>301</v>
      </c>
      <c r="V58" s="130" t="s">
        <v>301</v>
      </c>
      <c r="W58" s="130" t="s">
        <v>301</v>
      </c>
      <c r="X58" s="132" t="s">
        <v>301</v>
      </c>
      <c r="Y58" s="130" t="s">
        <v>301</v>
      </c>
      <c r="Z58" s="130" t="s">
        <v>301</v>
      </c>
      <c r="AA58" s="130" t="s">
        <v>301</v>
      </c>
      <c r="AB58" s="131" t="s">
        <v>301</v>
      </c>
      <c r="AC58" s="130" t="s">
        <v>301</v>
      </c>
      <c r="AD58" s="130" t="s">
        <v>301</v>
      </c>
      <c r="AE58" s="130" t="s">
        <v>301</v>
      </c>
      <c r="AF58" s="130" t="s">
        <v>301</v>
      </c>
      <c r="AG58" s="130" t="s">
        <v>301</v>
      </c>
      <c r="AH58" s="130" t="s">
        <v>301</v>
      </c>
      <c r="AI58" s="130" t="s">
        <v>301</v>
      </c>
      <c r="AJ58" s="130" t="s">
        <v>301</v>
      </c>
      <c r="AK58" s="130" t="s">
        <v>301</v>
      </c>
      <c r="AL58" s="130" t="s">
        <v>301</v>
      </c>
      <c r="AM58" s="130" t="s">
        <v>301</v>
      </c>
      <c r="AN58" s="130" t="s">
        <v>301</v>
      </c>
      <c r="AO58" s="130" t="s">
        <v>301</v>
      </c>
      <c r="AP58" s="130" t="s">
        <v>301</v>
      </c>
      <c r="AQ58" s="130" t="s">
        <v>301</v>
      </c>
      <c r="AR58" s="130" t="s">
        <v>301</v>
      </c>
      <c r="AS58" s="130" t="s">
        <v>301</v>
      </c>
      <c r="AT58" s="130" t="s">
        <v>301</v>
      </c>
      <c r="AU58" s="130" t="s">
        <v>301</v>
      </c>
      <c r="AV58" s="130" t="s">
        <v>301</v>
      </c>
      <c r="AW58" s="130" t="s">
        <v>301</v>
      </c>
      <c r="AX58" s="130" t="s">
        <v>301</v>
      </c>
      <c r="AY58" s="130" t="s">
        <v>301</v>
      </c>
      <c r="AZ58" s="130" t="s">
        <v>301</v>
      </c>
      <c r="BA58" s="130" t="s">
        <v>301</v>
      </c>
      <c r="BB58" s="130" t="s">
        <v>301</v>
      </c>
      <c r="BC58" s="130" t="s">
        <v>301</v>
      </c>
      <c r="BD58" s="130" t="s">
        <v>301</v>
      </c>
      <c r="BE58" s="130" t="s">
        <v>301</v>
      </c>
      <c r="BF58" s="130" t="s">
        <v>301</v>
      </c>
      <c r="BG58" s="130" t="s">
        <v>301</v>
      </c>
      <c r="BH58" s="130" t="s">
        <v>301</v>
      </c>
      <c r="BI58" s="130" t="s">
        <v>301</v>
      </c>
      <c r="BJ58" s="130" t="s">
        <v>301</v>
      </c>
      <c r="BK58" s="130" t="s">
        <v>301</v>
      </c>
      <c r="BL58" s="130" t="s">
        <v>301</v>
      </c>
      <c r="BM58" s="130" t="s">
        <v>301</v>
      </c>
      <c r="BN58" s="130" t="s">
        <v>301</v>
      </c>
      <c r="BO58" s="130">
        <v>0</v>
      </c>
      <c r="BP58" s="130" t="s">
        <v>301</v>
      </c>
      <c r="BQ58" s="130" t="s">
        <v>301</v>
      </c>
      <c r="BR58" s="130" t="s">
        <v>301</v>
      </c>
      <c r="BS58" s="130" t="s">
        <v>301</v>
      </c>
      <c r="BT58" s="130">
        <v>27379</v>
      </c>
      <c r="BU58" s="130" t="s">
        <v>301</v>
      </c>
      <c r="BV58" s="130" t="s">
        <v>301</v>
      </c>
      <c r="BW58" s="130">
        <v>3961</v>
      </c>
    </row>
    <row r="59" spans="1:75" x14ac:dyDescent="0.2">
      <c r="A59" s="130" t="s">
        <v>348</v>
      </c>
      <c r="B59" s="130">
        <v>16</v>
      </c>
      <c r="C59" s="130">
        <v>5</v>
      </c>
      <c r="D59" s="130">
        <v>4</v>
      </c>
      <c r="E59" s="130">
        <v>173</v>
      </c>
      <c r="F59" s="131">
        <v>798</v>
      </c>
      <c r="G59" s="130">
        <v>26</v>
      </c>
      <c r="H59" s="130">
        <v>45</v>
      </c>
      <c r="I59" s="130">
        <v>31</v>
      </c>
      <c r="J59" s="130">
        <v>21</v>
      </c>
      <c r="K59" s="130">
        <v>2</v>
      </c>
      <c r="L59" s="130">
        <v>99</v>
      </c>
      <c r="M59" s="130">
        <v>91</v>
      </c>
      <c r="N59" s="130">
        <v>53</v>
      </c>
      <c r="O59" s="130">
        <v>52</v>
      </c>
      <c r="P59" s="130">
        <v>11</v>
      </c>
      <c r="Q59" s="130">
        <v>102</v>
      </c>
      <c r="R59" s="130">
        <v>50</v>
      </c>
      <c r="S59" s="130">
        <v>35</v>
      </c>
      <c r="T59" s="130">
        <v>126</v>
      </c>
      <c r="U59" s="130">
        <v>23</v>
      </c>
      <c r="V59" s="130">
        <v>88</v>
      </c>
      <c r="W59" s="130">
        <v>167</v>
      </c>
      <c r="X59" s="132" t="s">
        <v>301</v>
      </c>
      <c r="Y59" s="130">
        <v>74</v>
      </c>
      <c r="Z59" s="130">
        <v>3</v>
      </c>
      <c r="AA59" s="130">
        <v>32</v>
      </c>
      <c r="AB59" s="131">
        <v>312</v>
      </c>
      <c r="AC59" s="130">
        <v>1186</v>
      </c>
      <c r="AD59" s="130">
        <v>1794</v>
      </c>
      <c r="AE59" s="130">
        <v>1608</v>
      </c>
      <c r="AF59" s="130">
        <v>45</v>
      </c>
      <c r="AG59" s="130">
        <v>2</v>
      </c>
      <c r="AH59" s="130">
        <v>43</v>
      </c>
      <c r="AI59" s="130">
        <v>110</v>
      </c>
      <c r="AJ59" s="130">
        <v>53</v>
      </c>
      <c r="AK59" s="130">
        <v>356</v>
      </c>
      <c r="AL59" s="130">
        <v>125</v>
      </c>
      <c r="AM59" s="130">
        <v>199</v>
      </c>
      <c r="AN59" s="130">
        <v>262</v>
      </c>
      <c r="AO59" s="130">
        <v>177</v>
      </c>
      <c r="AP59" s="130">
        <v>222</v>
      </c>
      <c r="AQ59" s="130">
        <v>17</v>
      </c>
      <c r="AR59" s="130">
        <v>123</v>
      </c>
      <c r="AS59" s="130" t="s">
        <v>301</v>
      </c>
      <c r="AT59" s="130">
        <v>461</v>
      </c>
      <c r="AU59" s="130">
        <v>121</v>
      </c>
      <c r="AV59" s="130">
        <v>86</v>
      </c>
      <c r="AW59" s="130">
        <v>10</v>
      </c>
      <c r="AX59" s="130">
        <v>62</v>
      </c>
      <c r="AY59" s="130">
        <v>37</v>
      </c>
      <c r="AZ59" s="130">
        <v>129</v>
      </c>
      <c r="BA59" s="130">
        <v>42</v>
      </c>
      <c r="BB59" s="130">
        <v>72</v>
      </c>
      <c r="BC59" s="130">
        <v>296</v>
      </c>
      <c r="BD59" s="130">
        <v>489</v>
      </c>
      <c r="BE59" s="130">
        <v>160</v>
      </c>
      <c r="BF59" s="130">
        <v>88</v>
      </c>
      <c r="BG59" s="130">
        <v>102</v>
      </c>
      <c r="BH59" s="130">
        <v>161</v>
      </c>
      <c r="BI59" s="130">
        <v>48</v>
      </c>
      <c r="BJ59" s="130">
        <v>193</v>
      </c>
      <c r="BK59" s="130" t="s">
        <v>301</v>
      </c>
      <c r="BL59" s="130">
        <v>144</v>
      </c>
      <c r="BM59" s="130" t="s">
        <v>301</v>
      </c>
      <c r="BN59" s="130" t="s">
        <v>301</v>
      </c>
      <c r="BO59" s="130">
        <v>11462</v>
      </c>
      <c r="BP59" s="130" t="s">
        <v>301</v>
      </c>
      <c r="BQ59" s="130" t="s">
        <v>301</v>
      </c>
      <c r="BR59" s="130" t="s">
        <v>301</v>
      </c>
      <c r="BS59" s="130" t="s">
        <v>301</v>
      </c>
      <c r="BT59" s="130" t="s">
        <v>301</v>
      </c>
      <c r="BU59" s="130" t="s">
        <v>301</v>
      </c>
      <c r="BV59" s="130" t="s">
        <v>301</v>
      </c>
      <c r="BW59" s="130">
        <v>1614</v>
      </c>
    </row>
    <row r="60" spans="1:75" x14ac:dyDescent="0.2">
      <c r="A60" s="130" t="s">
        <v>349</v>
      </c>
      <c r="B60" s="130">
        <v>810</v>
      </c>
      <c r="C60" s="130">
        <v>7</v>
      </c>
      <c r="D60" s="130">
        <v>7</v>
      </c>
      <c r="E60" s="130">
        <v>683</v>
      </c>
      <c r="F60" s="131">
        <v>41</v>
      </c>
      <c r="G60" s="130">
        <v>3</v>
      </c>
      <c r="H60" s="130">
        <v>8</v>
      </c>
      <c r="I60" s="130">
        <v>18</v>
      </c>
      <c r="J60" s="130">
        <v>2</v>
      </c>
      <c r="K60" s="130">
        <v>27</v>
      </c>
      <c r="L60" s="130">
        <v>16</v>
      </c>
      <c r="M60" s="130">
        <v>9</v>
      </c>
      <c r="N60" s="130">
        <v>22</v>
      </c>
      <c r="O60" s="130">
        <v>11</v>
      </c>
      <c r="P60" s="130">
        <v>51</v>
      </c>
      <c r="Q60" s="130">
        <v>18</v>
      </c>
      <c r="R60" s="130">
        <v>31</v>
      </c>
      <c r="S60" s="130">
        <v>14</v>
      </c>
      <c r="T60" s="130">
        <v>58</v>
      </c>
      <c r="U60" s="130">
        <v>20</v>
      </c>
      <c r="V60" s="130">
        <v>85</v>
      </c>
      <c r="W60" s="130">
        <v>16</v>
      </c>
      <c r="X60" s="132" t="s">
        <v>301</v>
      </c>
      <c r="Y60" s="130">
        <v>372</v>
      </c>
      <c r="Z60" s="130">
        <v>11</v>
      </c>
      <c r="AA60" s="130">
        <v>30</v>
      </c>
      <c r="AB60" s="131">
        <v>1531</v>
      </c>
      <c r="AC60" s="130">
        <v>544</v>
      </c>
      <c r="AD60" s="130">
        <v>1227</v>
      </c>
      <c r="AE60" s="130">
        <v>540</v>
      </c>
      <c r="AF60" s="130">
        <v>50</v>
      </c>
      <c r="AG60" s="130">
        <v>1</v>
      </c>
      <c r="AH60" s="130">
        <v>21</v>
      </c>
      <c r="AI60" s="130">
        <v>93</v>
      </c>
      <c r="AJ60" s="130">
        <v>23</v>
      </c>
      <c r="AK60" s="130">
        <v>275</v>
      </c>
      <c r="AL60" s="130">
        <v>143</v>
      </c>
      <c r="AM60" s="130">
        <v>182</v>
      </c>
      <c r="AN60" s="130">
        <v>489</v>
      </c>
      <c r="AO60" s="130">
        <v>161</v>
      </c>
      <c r="AP60" s="130">
        <v>966</v>
      </c>
      <c r="AQ60" s="130">
        <v>76</v>
      </c>
      <c r="AR60" s="130">
        <v>130</v>
      </c>
      <c r="AS60" s="130" t="s">
        <v>301</v>
      </c>
      <c r="AT60" s="130">
        <v>556</v>
      </c>
      <c r="AU60" s="130">
        <v>668</v>
      </c>
      <c r="AV60" s="130">
        <v>654</v>
      </c>
      <c r="AW60" s="130">
        <v>126</v>
      </c>
      <c r="AX60" s="130">
        <v>843</v>
      </c>
      <c r="AY60" s="130">
        <v>1116</v>
      </c>
      <c r="AZ60" s="130">
        <v>125</v>
      </c>
      <c r="BA60" s="130">
        <v>222</v>
      </c>
      <c r="BB60" s="130">
        <v>49</v>
      </c>
      <c r="BC60" s="130">
        <v>673</v>
      </c>
      <c r="BD60" s="130">
        <v>3570</v>
      </c>
      <c r="BE60" s="130">
        <v>294</v>
      </c>
      <c r="BF60" s="130">
        <v>184</v>
      </c>
      <c r="BG60" s="130">
        <v>10</v>
      </c>
      <c r="BH60" s="130">
        <v>65</v>
      </c>
      <c r="BI60" s="130">
        <v>51</v>
      </c>
      <c r="BJ60" s="130">
        <v>104</v>
      </c>
      <c r="BK60" s="130" t="s">
        <v>301</v>
      </c>
      <c r="BL60" s="130">
        <v>25</v>
      </c>
      <c r="BM60" s="130" t="s">
        <v>301</v>
      </c>
      <c r="BN60" s="130" t="s">
        <v>301</v>
      </c>
      <c r="BO60" s="130">
        <v>18157</v>
      </c>
      <c r="BP60" s="130">
        <v>3378</v>
      </c>
      <c r="BQ60" s="130" t="s">
        <v>301</v>
      </c>
      <c r="BR60" s="130" t="s">
        <v>301</v>
      </c>
      <c r="BS60" s="130" t="s">
        <v>301</v>
      </c>
      <c r="BT60" s="130" t="s">
        <v>301</v>
      </c>
      <c r="BU60" s="130" t="s">
        <v>301</v>
      </c>
      <c r="BV60" s="130" t="s">
        <v>301</v>
      </c>
      <c r="BW60" s="130">
        <v>104</v>
      </c>
    </row>
    <row r="61" spans="1:75" x14ac:dyDescent="0.2">
      <c r="A61" s="130" t="s">
        <v>350</v>
      </c>
      <c r="B61" s="130">
        <v>657</v>
      </c>
      <c r="C61" s="130">
        <v>188</v>
      </c>
      <c r="D61" s="130">
        <v>7</v>
      </c>
      <c r="E61" s="130">
        <v>1708</v>
      </c>
      <c r="F61" s="131">
        <v>972</v>
      </c>
      <c r="G61" s="130">
        <v>82</v>
      </c>
      <c r="H61" s="130">
        <v>189</v>
      </c>
      <c r="I61" s="130">
        <v>176</v>
      </c>
      <c r="J61" s="130">
        <v>70</v>
      </c>
      <c r="K61" s="130">
        <v>40</v>
      </c>
      <c r="L61" s="130">
        <v>538</v>
      </c>
      <c r="M61" s="130">
        <v>280</v>
      </c>
      <c r="N61" s="130">
        <v>378</v>
      </c>
      <c r="O61" s="130">
        <v>249</v>
      </c>
      <c r="P61" s="130">
        <v>190</v>
      </c>
      <c r="Q61" s="130">
        <v>589</v>
      </c>
      <c r="R61" s="130">
        <v>251</v>
      </c>
      <c r="S61" s="130">
        <v>136</v>
      </c>
      <c r="T61" s="130">
        <v>465</v>
      </c>
      <c r="U61" s="130">
        <v>2207</v>
      </c>
      <c r="V61" s="130">
        <v>209</v>
      </c>
      <c r="W61" s="130">
        <v>309</v>
      </c>
      <c r="X61" s="132" t="s">
        <v>301</v>
      </c>
      <c r="Y61" s="130">
        <v>36</v>
      </c>
      <c r="Z61" s="130">
        <v>2</v>
      </c>
      <c r="AA61" s="130">
        <v>590</v>
      </c>
      <c r="AB61" s="131">
        <v>4693</v>
      </c>
      <c r="AC61" s="130">
        <v>3076</v>
      </c>
      <c r="AD61" s="130">
        <v>1091</v>
      </c>
      <c r="AE61" s="130">
        <v>2163</v>
      </c>
      <c r="AF61" s="130">
        <v>2419</v>
      </c>
      <c r="AG61" s="130">
        <v>48</v>
      </c>
      <c r="AH61" s="130">
        <v>141</v>
      </c>
      <c r="AI61" s="130">
        <v>1210</v>
      </c>
      <c r="AJ61" s="130">
        <v>434</v>
      </c>
      <c r="AK61" s="130">
        <v>2179</v>
      </c>
      <c r="AL61" s="130">
        <v>527</v>
      </c>
      <c r="AM61" s="130">
        <v>135</v>
      </c>
      <c r="AN61" s="130">
        <v>826</v>
      </c>
      <c r="AO61" s="130">
        <v>1019</v>
      </c>
      <c r="AP61" s="130">
        <v>1282</v>
      </c>
      <c r="AQ61" s="130">
        <v>66</v>
      </c>
      <c r="AR61" s="130">
        <v>188</v>
      </c>
      <c r="AS61" s="130" t="s">
        <v>301</v>
      </c>
      <c r="AT61" s="130">
        <v>1048</v>
      </c>
      <c r="AU61" s="130">
        <v>872</v>
      </c>
      <c r="AV61" s="130">
        <v>953</v>
      </c>
      <c r="AW61" s="130">
        <v>73</v>
      </c>
      <c r="AX61" s="130">
        <v>118</v>
      </c>
      <c r="AY61" s="130">
        <v>241</v>
      </c>
      <c r="AZ61" s="130">
        <v>600</v>
      </c>
      <c r="BA61" s="130">
        <v>408</v>
      </c>
      <c r="BB61" s="130">
        <v>112</v>
      </c>
      <c r="BC61" s="130">
        <v>1121</v>
      </c>
      <c r="BD61" s="130">
        <v>2160</v>
      </c>
      <c r="BE61" s="130">
        <v>449</v>
      </c>
      <c r="BF61" s="130">
        <v>486</v>
      </c>
      <c r="BG61" s="130">
        <v>435</v>
      </c>
      <c r="BH61" s="130">
        <v>286</v>
      </c>
      <c r="BI61" s="130">
        <v>128</v>
      </c>
      <c r="BJ61" s="130">
        <v>503</v>
      </c>
      <c r="BK61" s="130" t="s">
        <v>301</v>
      </c>
      <c r="BL61" s="130">
        <v>474</v>
      </c>
      <c r="BM61" s="130" t="s">
        <v>301</v>
      </c>
      <c r="BN61" s="130" t="s">
        <v>301</v>
      </c>
      <c r="BO61" s="130">
        <v>42482</v>
      </c>
      <c r="BP61" s="130">
        <v>4626</v>
      </c>
      <c r="BQ61" s="130">
        <v>590</v>
      </c>
      <c r="BR61" s="130" t="s">
        <v>301</v>
      </c>
      <c r="BS61" s="130" t="s">
        <v>301</v>
      </c>
      <c r="BT61" s="130" t="s">
        <v>301</v>
      </c>
      <c r="BU61" s="130" t="s">
        <v>301</v>
      </c>
      <c r="BV61" s="130" t="s">
        <v>301</v>
      </c>
      <c r="BW61" s="130">
        <v>4135</v>
      </c>
    </row>
    <row r="62" spans="1:75" x14ac:dyDescent="0.2">
      <c r="A62" s="130" t="s">
        <v>351</v>
      </c>
      <c r="B62" s="130">
        <v>3</v>
      </c>
      <c r="C62" s="130">
        <v>4</v>
      </c>
      <c r="D62" s="130">
        <v>1</v>
      </c>
      <c r="E62" s="130">
        <v>1007</v>
      </c>
      <c r="F62" s="131">
        <v>118</v>
      </c>
      <c r="G62" s="130">
        <v>5</v>
      </c>
      <c r="H62" s="130">
        <v>7</v>
      </c>
      <c r="I62" s="130">
        <v>17</v>
      </c>
      <c r="J62" s="130">
        <v>3</v>
      </c>
      <c r="K62" s="130">
        <v>7</v>
      </c>
      <c r="L62" s="130">
        <v>82</v>
      </c>
      <c r="M62" s="130">
        <v>10</v>
      </c>
      <c r="N62" s="130">
        <v>22</v>
      </c>
      <c r="O62" s="130">
        <v>15</v>
      </c>
      <c r="P62" s="130">
        <v>52</v>
      </c>
      <c r="Q62" s="130">
        <v>29</v>
      </c>
      <c r="R62" s="130">
        <v>26</v>
      </c>
      <c r="S62" s="130">
        <v>13</v>
      </c>
      <c r="T62" s="130">
        <v>40</v>
      </c>
      <c r="U62" s="130">
        <v>59</v>
      </c>
      <c r="V62" s="130">
        <v>61</v>
      </c>
      <c r="W62" s="130">
        <v>36</v>
      </c>
      <c r="X62" s="132" t="s">
        <v>301</v>
      </c>
      <c r="Y62" s="130">
        <v>188</v>
      </c>
      <c r="Z62" s="130">
        <v>1</v>
      </c>
      <c r="AA62" s="130">
        <v>89</v>
      </c>
      <c r="AB62" s="131">
        <v>714</v>
      </c>
      <c r="AC62" s="130">
        <v>502</v>
      </c>
      <c r="AD62" s="130">
        <v>1487</v>
      </c>
      <c r="AE62" s="130">
        <v>819</v>
      </c>
      <c r="AF62" s="130">
        <v>1281</v>
      </c>
      <c r="AG62" s="130">
        <v>4</v>
      </c>
      <c r="AH62" s="130">
        <v>31</v>
      </c>
      <c r="AI62" s="130">
        <v>179</v>
      </c>
      <c r="AJ62" s="130">
        <v>63</v>
      </c>
      <c r="AK62" s="130">
        <v>267</v>
      </c>
      <c r="AL62" s="130">
        <v>207</v>
      </c>
      <c r="AM62" s="130">
        <v>46</v>
      </c>
      <c r="AN62" s="130">
        <v>82</v>
      </c>
      <c r="AO62" s="130">
        <v>778</v>
      </c>
      <c r="AP62" s="130">
        <v>1514</v>
      </c>
      <c r="AQ62" s="130">
        <v>294</v>
      </c>
      <c r="AR62" s="130">
        <v>204</v>
      </c>
      <c r="AS62" s="130" t="s">
        <v>301</v>
      </c>
      <c r="AT62" s="130">
        <v>613</v>
      </c>
      <c r="AU62" s="130">
        <v>483</v>
      </c>
      <c r="AV62" s="130">
        <v>119</v>
      </c>
      <c r="AW62" s="130">
        <v>23</v>
      </c>
      <c r="AX62" s="130">
        <v>180</v>
      </c>
      <c r="AY62" s="130">
        <v>219</v>
      </c>
      <c r="AZ62" s="130">
        <v>221</v>
      </c>
      <c r="BA62" s="130">
        <v>228</v>
      </c>
      <c r="BB62" s="130">
        <v>10</v>
      </c>
      <c r="BC62" s="130">
        <v>513</v>
      </c>
      <c r="BD62" s="130">
        <v>749</v>
      </c>
      <c r="BE62" s="130">
        <v>187</v>
      </c>
      <c r="BF62" s="130">
        <v>297</v>
      </c>
      <c r="BG62" s="130">
        <v>38</v>
      </c>
      <c r="BH62" s="130">
        <v>70</v>
      </c>
      <c r="BI62" s="130">
        <v>76</v>
      </c>
      <c r="BJ62" s="130">
        <v>101</v>
      </c>
      <c r="BK62" s="130" t="s">
        <v>301</v>
      </c>
      <c r="BL62" s="130">
        <v>45</v>
      </c>
      <c r="BM62" s="130" t="s">
        <v>301</v>
      </c>
      <c r="BN62" s="130" t="s">
        <v>301</v>
      </c>
      <c r="BO62" s="130">
        <v>14539</v>
      </c>
      <c r="BP62" s="130">
        <v>99</v>
      </c>
      <c r="BQ62" s="130" t="s">
        <v>301</v>
      </c>
      <c r="BR62" s="130" t="s">
        <v>301</v>
      </c>
      <c r="BS62" s="130" t="s">
        <v>301</v>
      </c>
      <c r="BT62" s="130" t="s">
        <v>301</v>
      </c>
      <c r="BU62" s="130" t="s">
        <v>301</v>
      </c>
      <c r="BV62" s="130" t="s">
        <v>301</v>
      </c>
      <c r="BW62" s="130">
        <v>210</v>
      </c>
    </row>
    <row r="63" spans="1:75" x14ac:dyDescent="0.2">
      <c r="A63" s="130" t="s">
        <v>352</v>
      </c>
      <c r="B63" s="130">
        <v>2</v>
      </c>
      <c r="C63" s="130">
        <v>1</v>
      </c>
      <c r="D63" s="130">
        <v>1</v>
      </c>
      <c r="E63" s="130">
        <v>35</v>
      </c>
      <c r="F63" s="131">
        <v>23</v>
      </c>
      <c r="G63" s="130">
        <v>3</v>
      </c>
      <c r="H63" s="130">
        <v>7</v>
      </c>
      <c r="I63" s="130">
        <v>4</v>
      </c>
      <c r="J63" s="130">
        <v>3</v>
      </c>
      <c r="K63" s="130">
        <v>1</v>
      </c>
      <c r="L63" s="130">
        <v>9</v>
      </c>
      <c r="M63" s="130">
        <v>5</v>
      </c>
      <c r="N63" s="130">
        <v>8</v>
      </c>
      <c r="O63" s="130">
        <v>5</v>
      </c>
      <c r="P63" s="130">
        <v>4</v>
      </c>
      <c r="Q63" s="130">
        <v>18</v>
      </c>
      <c r="R63" s="130">
        <v>7</v>
      </c>
      <c r="S63" s="130">
        <v>5</v>
      </c>
      <c r="T63" s="130">
        <v>22</v>
      </c>
      <c r="U63" s="130">
        <v>5</v>
      </c>
      <c r="V63" s="130">
        <v>8</v>
      </c>
      <c r="W63" s="130">
        <v>14</v>
      </c>
      <c r="X63" s="132" t="s">
        <v>301</v>
      </c>
      <c r="Y63" s="130">
        <v>10</v>
      </c>
      <c r="Z63" s="130">
        <v>1</v>
      </c>
      <c r="AA63" s="130">
        <v>11</v>
      </c>
      <c r="AB63" s="131">
        <v>22</v>
      </c>
      <c r="AC63" s="130">
        <v>90</v>
      </c>
      <c r="AD63" s="130">
        <v>601</v>
      </c>
      <c r="AE63" s="130">
        <v>204</v>
      </c>
      <c r="AF63" s="130">
        <v>120</v>
      </c>
      <c r="AG63" s="130" t="s">
        <v>301</v>
      </c>
      <c r="AH63" s="130">
        <v>325</v>
      </c>
      <c r="AI63" s="130">
        <v>294</v>
      </c>
      <c r="AJ63" s="130">
        <v>8</v>
      </c>
      <c r="AK63" s="130">
        <v>172</v>
      </c>
      <c r="AL63" s="130">
        <v>17</v>
      </c>
      <c r="AM63" s="130">
        <v>11</v>
      </c>
      <c r="AN63" s="130">
        <v>6</v>
      </c>
      <c r="AO63" s="130">
        <v>90</v>
      </c>
      <c r="AP63" s="130">
        <v>116</v>
      </c>
      <c r="AQ63" s="130">
        <v>29</v>
      </c>
      <c r="AR63" s="130">
        <v>19</v>
      </c>
      <c r="AS63" s="130" t="s">
        <v>301</v>
      </c>
      <c r="AT63" s="130">
        <v>146</v>
      </c>
      <c r="AU63" s="130">
        <v>137</v>
      </c>
      <c r="AV63" s="130">
        <v>57</v>
      </c>
      <c r="AW63" s="130">
        <v>16</v>
      </c>
      <c r="AX63" s="130">
        <v>21</v>
      </c>
      <c r="AY63" s="130">
        <v>51</v>
      </c>
      <c r="AZ63" s="130">
        <v>41</v>
      </c>
      <c r="BA63" s="130">
        <v>27</v>
      </c>
      <c r="BB63" s="130">
        <v>3</v>
      </c>
      <c r="BC63" s="130">
        <v>109</v>
      </c>
      <c r="BD63" s="130">
        <v>139</v>
      </c>
      <c r="BE63" s="130">
        <v>90</v>
      </c>
      <c r="BF63" s="130">
        <v>60</v>
      </c>
      <c r="BG63" s="130">
        <v>35</v>
      </c>
      <c r="BH63" s="130">
        <v>30</v>
      </c>
      <c r="BI63" s="130">
        <v>6</v>
      </c>
      <c r="BJ63" s="130">
        <v>39</v>
      </c>
      <c r="BK63" s="130" t="s">
        <v>301</v>
      </c>
      <c r="BL63" s="130">
        <v>29</v>
      </c>
      <c r="BM63" s="130" t="s">
        <v>301</v>
      </c>
      <c r="BN63" s="130" t="s">
        <v>301</v>
      </c>
      <c r="BO63" s="130">
        <v>3372</v>
      </c>
      <c r="BP63" s="130">
        <v>1861</v>
      </c>
      <c r="BQ63" s="130">
        <v>220</v>
      </c>
      <c r="BR63" s="130" t="s">
        <v>301</v>
      </c>
      <c r="BS63" s="130" t="s">
        <v>301</v>
      </c>
      <c r="BT63" s="130" t="s">
        <v>301</v>
      </c>
      <c r="BU63" s="130" t="s">
        <v>301</v>
      </c>
      <c r="BV63" s="130" t="s">
        <v>301</v>
      </c>
      <c r="BW63" s="130">
        <v>69</v>
      </c>
    </row>
    <row r="64" spans="1:75" x14ac:dyDescent="0.2">
      <c r="A64" s="130" t="s">
        <v>353</v>
      </c>
      <c r="B64" s="130">
        <v>128</v>
      </c>
      <c r="C64" s="130">
        <v>52</v>
      </c>
      <c r="D64" s="130">
        <v>33</v>
      </c>
      <c r="E64" s="130">
        <v>2975</v>
      </c>
      <c r="F64" s="131">
        <v>712</v>
      </c>
      <c r="G64" s="130">
        <v>29</v>
      </c>
      <c r="H64" s="130">
        <v>101</v>
      </c>
      <c r="I64" s="130">
        <v>165</v>
      </c>
      <c r="J64" s="130">
        <v>89</v>
      </c>
      <c r="K64" s="130">
        <v>66</v>
      </c>
      <c r="L64" s="130">
        <v>309</v>
      </c>
      <c r="M64" s="130">
        <v>61</v>
      </c>
      <c r="N64" s="130">
        <v>215</v>
      </c>
      <c r="O64" s="130">
        <v>99</v>
      </c>
      <c r="P64" s="130">
        <v>249</v>
      </c>
      <c r="Q64" s="130">
        <v>205</v>
      </c>
      <c r="R64" s="130">
        <v>91</v>
      </c>
      <c r="S64" s="130">
        <v>35</v>
      </c>
      <c r="T64" s="130">
        <v>162</v>
      </c>
      <c r="U64" s="130">
        <v>318</v>
      </c>
      <c r="V64" s="130">
        <v>360</v>
      </c>
      <c r="W64" s="130">
        <v>127</v>
      </c>
      <c r="X64" s="132" t="s">
        <v>301</v>
      </c>
      <c r="Y64" s="130">
        <v>708</v>
      </c>
      <c r="Z64" s="130">
        <v>7</v>
      </c>
      <c r="AA64" s="130">
        <v>444</v>
      </c>
      <c r="AB64" s="131">
        <v>3821</v>
      </c>
      <c r="AC64" s="130">
        <v>2047</v>
      </c>
      <c r="AD64" s="130">
        <v>4935</v>
      </c>
      <c r="AE64" s="130">
        <v>3961</v>
      </c>
      <c r="AF64" s="130">
        <v>1060</v>
      </c>
      <c r="AG64" s="130">
        <v>47</v>
      </c>
      <c r="AH64" s="130">
        <v>113</v>
      </c>
      <c r="AI64" s="130">
        <v>670</v>
      </c>
      <c r="AJ64" s="130">
        <v>345</v>
      </c>
      <c r="AK64" s="130">
        <v>1890</v>
      </c>
      <c r="AL64" s="130">
        <v>851</v>
      </c>
      <c r="AM64" s="130">
        <v>380</v>
      </c>
      <c r="AN64" s="130">
        <v>1897</v>
      </c>
      <c r="AO64" s="130">
        <v>3855</v>
      </c>
      <c r="AP64" s="130">
        <v>5691</v>
      </c>
      <c r="AQ64" s="130">
        <v>1146</v>
      </c>
      <c r="AR64" s="130">
        <v>934</v>
      </c>
      <c r="AS64" s="130">
        <v>1400</v>
      </c>
      <c r="AT64" s="130">
        <v>8454</v>
      </c>
      <c r="AU64" s="130">
        <v>2176</v>
      </c>
      <c r="AV64" s="130">
        <v>1004</v>
      </c>
      <c r="AW64" s="130">
        <v>109</v>
      </c>
      <c r="AX64" s="130">
        <v>722</v>
      </c>
      <c r="AY64" s="130">
        <v>699</v>
      </c>
      <c r="AZ64" s="130">
        <v>1813</v>
      </c>
      <c r="BA64" s="130">
        <v>965</v>
      </c>
      <c r="BB64" s="130">
        <v>107</v>
      </c>
      <c r="BC64" s="130">
        <v>2545</v>
      </c>
      <c r="BD64" s="130">
        <v>8460</v>
      </c>
      <c r="BE64" s="130">
        <v>2663</v>
      </c>
      <c r="BF64" s="130">
        <v>2918</v>
      </c>
      <c r="BG64" s="130">
        <v>610</v>
      </c>
      <c r="BH64" s="130">
        <v>1063</v>
      </c>
      <c r="BI64" s="130">
        <v>406</v>
      </c>
      <c r="BJ64" s="130">
        <v>1190</v>
      </c>
      <c r="BK64" s="130" t="s">
        <v>301</v>
      </c>
      <c r="BL64" s="130">
        <v>249</v>
      </c>
      <c r="BM64" s="130" t="s">
        <v>301</v>
      </c>
      <c r="BN64" s="130" t="s">
        <v>301</v>
      </c>
      <c r="BO64" s="130">
        <v>78936</v>
      </c>
      <c r="BP64" s="130">
        <v>3157</v>
      </c>
      <c r="BQ64" s="130" t="s">
        <v>301</v>
      </c>
      <c r="BR64" s="130" t="s">
        <v>301</v>
      </c>
      <c r="BS64" s="130" t="s">
        <v>301</v>
      </c>
      <c r="BT64" s="130" t="s">
        <v>301</v>
      </c>
      <c r="BU64" s="130" t="s">
        <v>301</v>
      </c>
      <c r="BV64" s="130" t="s">
        <v>301</v>
      </c>
      <c r="BW64" s="130">
        <v>15567</v>
      </c>
    </row>
    <row r="65" spans="1:75" x14ac:dyDescent="0.2">
      <c r="A65" s="130" t="s">
        <v>354</v>
      </c>
      <c r="B65" s="130" t="s">
        <v>301</v>
      </c>
      <c r="C65" s="130">
        <v>9</v>
      </c>
      <c r="D65" s="130">
        <v>5</v>
      </c>
      <c r="E65" s="130">
        <v>144</v>
      </c>
      <c r="F65" s="131">
        <v>46</v>
      </c>
      <c r="G65" s="130">
        <v>3</v>
      </c>
      <c r="H65" s="130">
        <v>7</v>
      </c>
      <c r="I65" s="130">
        <v>4</v>
      </c>
      <c r="J65" s="130">
        <v>6</v>
      </c>
      <c r="K65" s="130">
        <v>7</v>
      </c>
      <c r="L65" s="130">
        <v>21</v>
      </c>
      <c r="M65" s="130">
        <v>46</v>
      </c>
      <c r="N65" s="130">
        <v>6</v>
      </c>
      <c r="O65" s="130">
        <v>10</v>
      </c>
      <c r="P65" s="130">
        <v>39</v>
      </c>
      <c r="Q65" s="130">
        <v>23</v>
      </c>
      <c r="R65" s="130">
        <v>44</v>
      </c>
      <c r="S65" s="130">
        <v>9</v>
      </c>
      <c r="T65" s="130">
        <v>76</v>
      </c>
      <c r="U65" s="130">
        <v>60</v>
      </c>
      <c r="V65" s="130">
        <v>29</v>
      </c>
      <c r="W65" s="130">
        <v>26</v>
      </c>
      <c r="X65" s="132" t="s">
        <v>301</v>
      </c>
      <c r="Y65" s="130">
        <v>9</v>
      </c>
      <c r="Z65" s="130" t="s">
        <v>301</v>
      </c>
      <c r="AA65" s="130">
        <v>8</v>
      </c>
      <c r="AB65" s="131">
        <v>778</v>
      </c>
      <c r="AC65" s="130">
        <v>3</v>
      </c>
      <c r="AD65" s="130">
        <v>2</v>
      </c>
      <c r="AE65" s="130">
        <v>9</v>
      </c>
      <c r="AF65" s="130">
        <v>191</v>
      </c>
      <c r="AG65" s="130">
        <v>21</v>
      </c>
      <c r="AH65" s="130">
        <v>73</v>
      </c>
      <c r="AI65" s="130">
        <v>41</v>
      </c>
      <c r="AJ65" s="130" t="s">
        <v>301</v>
      </c>
      <c r="AK65" s="130" t="s">
        <v>301</v>
      </c>
      <c r="AL65" s="130" t="s">
        <v>301</v>
      </c>
      <c r="AM65" s="130">
        <v>56</v>
      </c>
      <c r="AN65" s="130">
        <v>21</v>
      </c>
      <c r="AO65" s="130" t="s">
        <v>301</v>
      </c>
      <c r="AP65" s="130">
        <v>658</v>
      </c>
      <c r="AQ65" s="130">
        <v>2</v>
      </c>
      <c r="AR65" s="130">
        <v>4</v>
      </c>
      <c r="AS65" s="130" t="s">
        <v>301</v>
      </c>
      <c r="AT65" s="130">
        <v>119</v>
      </c>
      <c r="AU65" s="130">
        <v>16</v>
      </c>
      <c r="AV65" s="130">
        <v>315</v>
      </c>
      <c r="AW65" s="130" t="s">
        <v>301</v>
      </c>
      <c r="AX65" s="130">
        <v>13</v>
      </c>
      <c r="AY65" s="130">
        <v>3</v>
      </c>
      <c r="AZ65" s="130" t="s">
        <v>301</v>
      </c>
      <c r="BA65" s="130" t="s">
        <v>301</v>
      </c>
      <c r="BB65" s="130" t="s">
        <v>301</v>
      </c>
      <c r="BC65" s="130">
        <v>19</v>
      </c>
      <c r="BD65" s="130">
        <v>5216</v>
      </c>
      <c r="BE65" s="130" t="s">
        <v>301</v>
      </c>
      <c r="BF65" s="130">
        <v>880</v>
      </c>
      <c r="BG65" s="130" t="s">
        <v>301</v>
      </c>
      <c r="BH65" s="130" t="s">
        <v>301</v>
      </c>
      <c r="BI65" s="130" t="s">
        <v>301</v>
      </c>
      <c r="BJ65" s="130" t="s">
        <v>301</v>
      </c>
      <c r="BK65" s="130" t="s">
        <v>301</v>
      </c>
      <c r="BL65" s="130" t="s">
        <v>301</v>
      </c>
      <c r="BM65" s="130" t="s">
        <v>301</v>
      </c>
      <c r="BN65" s="130" t="s">
        <v>301</v>
      </c>
      <c r="BO65" s="130">
        <v>9077</v>
      </c>
      <c r="BP65" s="130">
        <v>2878</v>
      </c>
      <c r="BQ65" s="130" t="s">
        <v>301</v>
      </c>
      <c r="BR65" s="130" t="s">
        <v>301</v>
      </c>
      <c r="BS65" s="130">
        <v>268616</v>
      </c>
      <c r="BT65" s="130" t="s">
        <v>301</v>
      </c>
      <c r="BU65" s="130" t="s">
        <v>301</v>
      </c>
      <c r="BV65" s="130" t="s">
        <v>301</v>
      </c>
      <c r="BW65" s="130">
        <v>1070</v>
      </c>
    </row>
    <row r="66" spans="1:75" x14ac:dyDescent="0.2">
      <c r="A66" s="130" t="s">
        <v>355</v>
      </c>
      <c r="B66" s="130" t="s">
        <v>301</v>
      </c>
      <c r="C66" s="130" t="s">
        <v>301</v>
      </c>
      <c r="D66" s="130" t="s">
        <v>301</v>
      </c>
      <c r="E66" s="130">
        <v>29</v>
      </c>
      <c r="F66" s="131">
        <v>13</v>
      </c>
      <c r="G66" s="130" t="s">
        <v>301</v>
      </c>
      <c r="H66" s="130" t="s">
        <v>301</v>
      </c>
      <c r="I66" s="130">
        <v>1</v>
      </c>
      <c r="J66" s="130" t="s">
        <v>301</v>
      </c>
      <c r="K66" s="130" t="s">
        <v>301</v>
      </c>
      <c r="L66" s="130">
        <v>5</v>
      </c>
      <c r="M66" s="130">
        <v>3</v>
      </c>
      <c r="N66" s="130">
        <v>1</v>
      </c>
      <c r="O66" s="130" t="s">
        <v>301</v>
      </c>
      <c r="P66" s="130">
        <v>4</v>
      </c>
      <c r="Q66" s="130" t="s">
        <v>301</v>
      </c>
      <c r="R66" s="130" t="s">
        <v>301</v>
      </c>
      <c r="S66" s="130" t="s">
        <v>301</v>
      </c>
      <c r="T66" s="130">
        <v>5</v>
      </c>
      <c r="U66" s="130">
        <v>1</v>
      </c>
      <c r="V66" s="130">
        <v>4</v>
      </c>
      <c r="W66" s="130" t="s">
        <v>301</v>
      </c>
      <c r="X66" s="132" t="s">
        <v>301</v>
      </c>
      <c r="Y66" s="130">
        <v>26</v>
      </c>
      <c r="Z66" s="130">
        <v>1</v>
      </c>
      <c r="AA66" s="130">
        <v>1</v>
      </c>
      <c r="AB66" s="131">
        <v>365</v>
      </c>
      <c r="AC66" s="130">
        <v>55</v>
      </c>
      <c r="AD66" s="130">
        <v>149</v>
      </c>
      <c r="AE66" s="130">
        <v>384</v>
      </c>
      <c r="AF66" s="130">
        <v>71</v>
      </c>
      <c r="AG66" s="130" t="s">
        <v>301</v>
      </c>
      <c r="AH66" s="130">
        <v>122</v>
      </c>
      <c r="AI66" s="130">
        <v>14</v>
      </c>
      <c r="AJ66" s="130">
        <v>24</v>
      </c>
      <c r="AK66" s="130">
        <v>148</v>
      </c>
      <c r="AL66" s="130">
        <v>297</v>
      </c>
      <c r="AM66" s="130" t="s">
        <v>301</v>
      </c>
      <c r="AN66" s="130">
        <v>13</v>
      </c>
      <c r="AO66" s="130">
        <v>595</v>
      </c>
      <c r="AP66" s="130">
        <v>380</v>
      </c>
      <c r="AQ66" s="130">
        <v>16</v>
      </c>
      <c r="AR66" s="130">
        <v>48</v>
      </c>
      <c r="AS66" s="130" t="s">
        <v>301</v>
      </c>
      <c r="AT66" s="130">
        <v>30</v>
      </c>
      <c r="AU66" s="130">
        <v>81</v>
      </c>
      <c r="AV66" s="130">
        <v>52</v>
      </c>
      <c r="AW66" s="130">
        <v>6</v>
      </c>
      <c r="AX66" s="130">
        <v>8</v>
      </c>
      <c r="AY66" s="130">
        <v>30</v>
      </c>
      <c r="AZ66" s="130">
        <v>3</v>
      </c>
      <c r="BA66" s="130">
        <v>42</v>
      </c>
      <c r="BB66" s="130">
        <v>6</v>
      </c>
      <c r="BC66" s="130">
        <v>113</v>
      </c>
      <c r="BD66" s="130">
        <v>2798</v>
      </c>
      <c r="BE66" s="130">
        <v>383</v>
      </c>
      <c r="BF66" s="130">
        <v>227</v>
      </c>
      <c r="BG66" s="130">
        <v>168</v>
      </c>
      <c r="BH66" s="130">
        <v>3</v>
      </c>
      <c r="BI66" s="130">
        <v>2</v>
      </c>
      <c r="BJ66" s="130">
        <v>40</v>
      </c>
      <c r="BK66" s="130" t="s">
        <v>301</v>
      </c>
      <c r="BL66" s="130">
        <v>4</v>
      </c>
      <c r="BM66" s="130" t="s">
        <v>301</v>
      </c>
      <c r="BN66" s="130" t="s">
        <v>301</v>
      </c>
      <c r="BO66" s="130">
        <v>6771</v>
      </c>
      <c r="BP66" s="130">
        <v>22737</v>
      </c>
      <c r="BQ66" s="130">
        <v>6584</v>
      </c>
      <c r="BR66" s="130">
        <v>3030</v>
      </c>
      <c r="BS66" s="130">
        <v>88600</v>
      </c>
      <c r="BT66" s="130" t="s">
        <v>301</v>
      </c>
      <c r="BU66" s="130" t="s">
        <v>301</v>
      </c>
      <c r="BV66" s="130" t="s">
        <v>301</v>
      </c>
      <c r="BW66" s="130">
        <v>139</v>
      </c>
    </row>
    <row r="67" spans="1:75" x14ac:dyDescent="0.2">
      <c r="A67" s="130" t="s">
        <v>356</v>
      </c>
      <c r="B67" s="130" t="s">
        <v>301</v>
      </c>
      <c r="C67" s="130" t="s">
        <v>301</v>
      </c>
      <c r="D67" s="130" t="s">
        <v>301</v>
      </c>
      <c r="E67" s="130" t="s">
        <v>301</v>
      </c>
      <c r="F67" s="131" t="s">
        <v>301</v>
      </c>
      <c r="G67" s="130" t="s">
        <v>301</v>
      </c>
      <c r="H67" s="130" t="s">
        <v>301</v>
      </c>
      <c r="I67" s="130" t="s">
        <v>301</v>
      </c>
      <c r="J67" s="130" t="s">
        <v>301</v>
      </c>
      <c r="K67" s="130" t="s">
        <v>301</v>
      </c>
      <c r="L67" s="130" t="s">
        <v>301</v>
      </c>
      <c r="M67" s="130" t="s">
        <v>301</v>
      </c>
      <c r="N67" s="130" t="s">
        <v>301</v>
      </c>
      <c r="O67" s="130" t="s">
        <v>301</v>
      </c>
      <c r="P67" s="130" t="s">
        <v>301</v>
      </c>
      <c r="Q67" s="130" t="s">
        <v>301</v>
      </c>
      <c r="R67" s="130" t="s">
        <v>301</v>
      </c>
      <c r="S67" s="130" t="s">
        <v>301</v>
      </c>
      <c r="T67" s="130" t="s">
        <v>301</v>
      </c>
      <c r="U67" s="130" t="s">
        <v>301</v>
      </c>
      <c r="V67" s="130" t="s">
        <v>301</v>
      </c>
      <c r="W67" s="130" t="s">
        <v>301</v>
      </c>
      <c r="X67" s="132" t="s">
        <v>301</v>
      </c>
      <c r="Y67" s="130" t="s">
        <v>301</v>
      </c>
      <c r="Z67" s="130">
        <v>5</v>
      </c>
      <c r="AA67" s="130" t="s">
        <v>301</v>
      </c>
      <c r="AB67" s="131" t="s">
        <v>301</v>
      </c>
      <c r="AC67" s="130" t="s">
        <v>301</v>
      </c>
      <c r="AD67" s="130" t="s">
        <v>301</v>
      </c>
      <c r="AE67" s="130" t="s">
        <v>301</v>
      </c>
      <c r="AF67" s="130" t="s">
        <v>301</v>
      </c>
      <c r="AG67" s="130" t="s">
        <v>301</v>
      </c>
      <c r="AH67" s="130" t="s">
        <v>301</v>
      </c>
      <c r="AI67" s="130" t="s">
        <v>301</v>
      </c>
      <c r="AJ67" s="130" t="s">
        <v>301</v>
      </c>
      <c r="AK67" s="130" t="s">
        <v>301</v>
      </c>
      <c r="AL67" s="130" t="s">
        <v>301</v>
      </c>
      <c r="AM67" s="130" t="s">
        <v>301</v>
      </c>
      <c r="AN67" s="130" t="s">
        <v>301</v>
      </c>
      <c r="AO67" s="130" t="s">
        <v>301</v>
      </c>
      <c r="AP67" s="130">
        <v>21</v>
      </c>
      <c r="AQ67" s="130">
        <v>95</v>
      </c>
      <c r="AR67" s="130" t="s">
        <v>301</v>
      </c>
      <c r="AS67" s="130" t="s">
        <v>301</v>
      </c>
      <c r="AT67" s="130" t="s">
        <v>301</v>
      </c>
      <c r="AU67" s="130" t="s">
        <v>301</v>
      </c>
      <c r="AV67" s="130" t="s">
        <v>301</v>
      </c>
      <c r="AW67" s="130" t="s">
        <v>301</v>
      </c>
      <c r="AX67" s="130" t="s">
        <v>301</v>
      </c>
      <c r="AY67" s="130" t="s">
        <v>301</v>
      </c>
      <c r="AZ67" s="130" t="s">
        <v>301</v>
      </c>
      <c r="BA67" s="130" t="s">
        <v>301</v>
      </c>
      <c r="BB67" s="130" t="s">
        <v>301</v>
      </c>
      <c r="BC67" s="130" t="s">
        <v>301</v>
      </c>
      <c r="BD67" s="130">
        <v>38583</v>
      </c>
      <c r="BE67" s="130">
        <v>35</v>
      </c>
      <c r="BF67" s="130">
        <v>9575</v>
      </c>
      <c r="BG67" s="130">
        <v>622</v>
      </c>
      <c r="BH67" s="130" t="s">
        <v>301</v>
      </c>
      <c r="BI67" s="130" t="s">
        <v>301</v>
      </c>
      <c r="BJ67" s="130" t="s">
        <v>301</v>
      </c>
      <c r="BK67" s="130" t="s">
        <v>301</v>
      </c>
      <c r="BL67" s="130" t="s">
        <v>301</v>
      </c>
      <c r="BM67" s="130" t="s">
        <v>301</v>
      </c>
      <c r="BN67" s="130" t="s">
        <v>301</v>
      </c>
      <c r="BO67" s="130">
        <v>48936</v>
      </c>
      <c r="BP67" s="130">
        <v>24898</v>
      </c>
      <c r="BQ67" s="130">
        <v>176</v>
      </c>
      <c r="BR67" s="130">
        <v>1427</v>
      </c>
      <c r="BS67" s="130">
        <v>90624</v>
      </c>
      <c r="BT67" s="130" t="s">
        <v>301</v>
      </c>
      <c r="BU67" s="130" t="s">
        <v>301</v>
      </c>
      <c r="BV67" s="130" t="s">
        <v>301</v>
      </c>
      <c r="BW67" s="130">
        <v>17</v>
      </c>
    </row>
    <row r="68" spans="1:75" x14ac:dyDescent="0.2">
      <c r="A68" s="130" t="s">
        <v>357</v>
      </c>
      <c r="B68" s="130" t="s">
        <v>301</v>
      </c>
      <c r="C68" s="130" t="s">
        <v>301</v>
      </c>
      <c r="D68" s="130" t="s">
        <v>301</v>
      </c>
      <c r="E68" s="130" t="s">
        <v>301</v>
      </c>
      <c r="F68" s="131" t="s">
        <v>301</v>
      </c>
      <c r="G68" s="130" t="s">
        <v>301</v>
      </c>
      <c r="H68" s="130" t="s">
        <v>301</v>
      </c>
      <c r="I68" s="130" t="s">
        <v>301</v>
      </c>
      <c r="J68" s="130" t="s">
        <v>301</v>
      </c>
      <c r="K68" s="130" t="s">
        <v>301</v>
      </c>
      <c r="L68" s="130" t="s">
        <v>301</v>
      </c>
      <c r="M68" s="130" t="s">
        <v>301</v>
      </c>
      <c r="N68" s="130" t="s">
        <v>301</v>
      </c>
      <c r="O68" s="130" t="s">
        <v>301</v>
      </c>
      <c r="P68" s="130" t="s">
        <v>301</v>
      </c>
      <c r="Q68" s="130" t="s">
        <v>301</v>
      </c>
      <c r="R68" s="130" t="s">
        <v>301</v>
      </c>
      <c r="S68" s="130" t="s">
        <v>301</v>
      </c>
      <c r="T68" s="130" t="s">
        <v>301</v>
      </c>
      <c r="U68" s="130" t="s">
        <v>301</v>
      </c>
      <c r="V68" s="130" t="s">
        <v>301</v>
      </c>
      <c r="W68" s="130" t="s">
        <v>301</v>
      </c>
      <c r="X68" s="132" t="s">
        <v>301</v>
      </c>
      <c r="Y68" s="130" t="s">
        <v>301</v>
      </c>
      <c r="Z68" s="130" t="s">
        <v>301</v>
      </c>
      <c r="AA68" s="130" t="s">
        <v>301</v>
      </c>
      <c r="AB68" s="131" t="s">
        <v>301</v>
      </c>
      <c r="AC68" s="130" t="s">
        <v>301</v>
      </c>
      <c r="AD68" s="130" t="s">
        <v>301</v>
      </c>
      <c r="AE68" s="130" t="s">
        <v>301</v>
      </c>
      <c r="AF68" s="130" t="s">
        <v>301</v>
      </c>
      <c r="AG68" s="130" t="s">
        <v>301</v>
      </c>
      <c r="AH68" s="130" t="s">
        <v>301</v>
      </c>
      <c r="AI68" s="130" t="s">
        <v>301</v>
      </c>
      <c r="AJ68" s="130" t="s">
        <v>301</v>
      </c>
      <c r="AK68" s="130" t="s">
        <v>301</v>
      </c>
      <c r="AL68" s="130" t="s">
        <v>301</v>
      </c>
      <c r="AM68" s="130" t="s">
        <v>301</v>
      </c>
      <c r="AN68" s="130" t="s">
        <v>301</v>
      </c>
      <c r="AO68" s="130" t="s">
        <v>301</v>
      </c>
      <c r="AP68" s="130" t="s">
        <v>301</v>
      </c>
      <c r="AQ68" s="130">
        <v>38</v>
      </c>
      <c r="AR68" s="130" t="s">
        <v>301</v>
      </c>
      <c r="AS68" s="130" t="s">
        <v>301</v>
      </c>
      <c r="AT68" s="130" t="s">
        <v>301</v>
      </c>
      <c r="AU68" s="130" t="s">
        <v>301</v>
      </c>
      <c r="AV68" s="130" t="s">
        <v>301</v>
      </c>
      <c r="AW68" s="130" t="s">
        <v>301</v>
      </c>
      <c r="AX68" s="130" t="s">
        <v>301</v>
      </c>
      <c r="AY68" s="130" t="s">
        <v>301</v>
      </c>
      <c r="AZ68" s="130" t="s">
        <v>301</v>
      </c>
      <c r="BA68" s="130" t="s">
        <v>301</v>
      </c>
      <c r="BB68" s="130" t="s">
        <v>301</v>
      </c>
      <c r="BC68" s="130" t="s">
        <v>301</v>
      </c>
      <c r="BD68" s="130">
        <v>5110</v>
      </c>
      <c r="BE68" s="130">
        <v>9</v>
      </c>
      <c r="BF68" s="130">
        <v>2959</v>
      </c>
      <c r="BG68" s="130">
        <v>627</v>
      </c>
      <c r="BH68" s="130" t="s">
        <v>301</v>
      </c>
      <c r="BI68" s="130" t="s">
        <v>301</v>
      </c>
      <c r="BJ68" s="130" t="s">
        <v>301</v>
      </c>
      <c r="BK68" s="130" t="s">
        <v>301</v>
      </c>
      <c r="BL68" s="130" t="s">
        <v>301</v>
      </c>
      <c r="BM68" s="130" t="s">
        <v>301</v>
      </c>
      <c r="BN68" s="130" t="s">
        <v>301</v>
      </c>
      <c r="BO68" s="130">
        <v>8743</v>
      </c>
      <c r="BP68" s="130">
        <v>17483</v>
      </c>
      <c r="BQ68" s="130" t="s">
        <v>301</v>
      </c>
      <c r="BR68" s="130">
        <v>7660</v>
      </c>
      <c r="BS68" s="130">
        <v>14529</v>
      </c>
      <c r="BT68" s="130" t="s">
        <v>301</v>
      </c>
      <c r="BU68" s="130" t="s">
        <v>301</v>
      </c>
      <c r="BV68" s="130" t="s">
        <v>301</v>
      </c>
      <c r="BW68" s="130" t="s">
        <v>301</v>
      </c>
    </row>
    <row r="69" spans="1:75" x14ac:dyDescent="0.2">
      <c r="A69" s="130" t="s">
        <v>358</v>
      </c>
      <c r="B69" s="130" t="s">
        <v>301</v>
      </c>
      <c r="C69" s="130" t="s">
        <v>301</v>
      </c>
      <c r="D69" s="130" t="s">
        <v>301</v>
      </c>
      <c r="E69" s="130" t="s">
        <v>301</v>
      </c>
      <c r="F69" s="131" t="s">
        <v>301</v>
      </c>
      <c r="G69" s="130" t="s">
        <v>301</v>
      </c>
      <c r="H69" s="130" t="s">
        <v>301</v>
      </c>
      <c r="I69" s="130" t="s">
        <v>301</v>
      </c>
      <c r="J69" s="130" t="s">
        <v>301</v>
      </c>
      <c r="K69" s="130" t="s">
        <v>301</v>
      </c>
      <c r="L69" s="130" t="s">
        <v>301</v>
      </c>
      <c r="M69" s="130" t="s">
        <v>301</v>
      </c>
      <c r="N69" s="130" t="s">
        <v>301</v>
      </c>
      <c r="O69" s="130" t="s">
        <v>301</v>
      </c>
      <c r="P69" s="130" t="s">
        <v>301</v>
      </c>
      <c r="Q69" s="130" t="s">
        <v>301</v>
      </c>
      <c r="R69" s="130" t="s">
        <v>301</v>
      </c>
      <c r="S69" s="130" t="s">
        <v>301</v>
      </c>
      <c r="T69" s="130" t="s">
        <v>301</v>
      </c>
      <c r="U69" s="130" t="s">
        <v>301</v>
      </c>
      <c r="V69" s="130" t="s">
        <v>301</v>
      </c>
      <c r="W69" s="130" t="s">
        <v>301</v>
      </c>
      <c r="X69" s="132" t="s">
        <v>301</v>
      </c>
      <c r="Y69" s="130" t="s">
        <v>301</v>
      </c>
      <c r="Z69" s="130" t="s">
        <v>301</v>
      </c>
      <c r="AA69" s="130">
        <v>7</v>
      </c>
      <c r="AB69" s="131" t="s">
        <v>301</v>
      </c>
      <c r="AC69" s="130" t="s">
        <v>301</v>
      </c>
      <c r="AD69" s="130" t="s">
        <v>301</v>
      </c>
      <c r="AE69" s="130" t="s">
        <v>301</v>
      </c>
      <c r="AF69" s="130" t="s">
        <v>301</v>
      </c>
      <c r="AG69" s="130" t="s">
        <v>301</v>
      </c>
      <c r="AH69" s="130" t="s">
        <v>301</v>
      </c>
      <c r="AI69" s="130" t="s">
        <v>301</v>
      </c>
      <c r="AJ69" s="130" t="s">
        <v>301</v>
      </c>
      <c r="AK69" s="130">
        <v>166</v>
      </c>
      <c r="AL69" s="130">
        <v>110</v>
      </c>
      <c r="AM69" s="130">
        <v>1178</v>
      </c>
      <c r="AN69" s="130">
        <v>65</v>
      </c>
      <c r="AO69" s="130">
        <v>38</v>
      </c>
      <c r="AP69" s="130">
        <v>47</v>
      </c>
      <c r="AQ69" s="130">
        <v>4</v>
      </c>
      <c r="AR69" s="130">
        <v>26</v>
      </c>
      <c r="AS69" s="130" t="s">
        <v>301</v>
      </c>
      <c r="AT69" s="130">
        <v>88</v>
      </c>
      <c r="AU69" s="130">
        <v>22</v>
      </c>
      <c r="AV69" s="130">
        <v>19</v>
      </c>
      <c r="AW69" s="130">
        <v>2</v>
      </c>
      <c r="AX69" s="130">
        <v>7</v>
      </c>
      <c r="AY69" s="130">
        <v>8</v>
      </c>
      <c r="AZ69" s="130">
        <v>25</v>
      </c>
      <c r="BA69" s="130">
        <v>7</v>
      </c>
      <c r="BB69" s="130">
        <v>20</v>
      </c>
      <c r="BC69" s="130">
        <v>60</v>
      </c>
      <c r="BD69" s="130">
        <v>609</v>
      </c>
      <c r="BE69" s="130">
        <v>84</v>
      </c>
      <c r="BF69" s="130">
        <v>12</v>
      </c>
      <c r="BG69" s="130">
        <v>12</v>
      </c>
      <c r="BH69" s="130">
        <v>1629</v>
      </c>
      <c r="BI69" s="130">
        <v>294</v>
      </c>
      <c r="BJ69" s="130">
        <v>33</v>
      </c>
      <c r="BK69" s="130" t="s">
        <v>301</v>
      </c>
      <c r="BL69" s="130" t="s">
        <v>301</v>
      </c>
      <c r="BM69" s="130" t="s">
        <v>301</v>
      </c>
      <c r="BN69" s="130" t="s">
        <v>301</v>
      </c>
      <c r="BO69" s="130">
        <v>4572</v>
      </c>
      <c r="BP69" s="130">
        <v>20325</v>
      </c>
      <c r="BQ69" s="130">
        <v>923</v>
      </c>
      <c r="BR69" s="130">
        <v>1425</v>
      </c>
      <c r="BS69" s="130" t="s">
        <v>301</v>
      </c>
      <c r="BT69" s="130" t="s">
        <v>301</v>
      </c>
      <c r="BU69" s="130" t="s">
        <v>301</v>
      </c>
      <c r="BV69" s="130" t="s">
        <v>301</v>
      </c>
      <c r="BW69" s="130">
        <v>673</v>
      </c>
    </row>
    <row r="70" spans="1:75" x14ac:dyDescent="0.2">
      <c r="A70" s="130" t="s">
        <v>359</v>
      </c>
      <c r="B70" s="130" t="s">
        <v>301</v>
      </c>
      <c r="C70" s="130" t="s">
        <v>301</v>
      </c>
      <c r="D70" s="130" t="s">
        <v>301</v>
      </c>
      <c r="E70" s="130" t="s">
        <v>301</v>
      </c>
      <c r="F70" s="131" t="s">
        <v>301</v>
      </c>
      <c r="G70" s="130" t="s">
        <v>301</v>
      </c>
      <c r="H70" s="130" t="s">
        <v>301</v>
      </c>
      <c r="I70" s="130" t="s">
        <v>301</v>
      </c>
      <c r="J70" s="130" t="s">
        <v>301</v>
      </c>
      <c r="K70" s="130" t="s">
        <v>301</v>
      </c>
      <c r="L70" s="130" t="s">
        <v>301</v>
      </c>
      <c r="M70" s="130" t="s">
        <v>301</v>
      </c>
      <c r="N70" s="130" t="s">
        <v>301</v>
      </c>
      <c r="O70" s="130" t="s">
        <v>301</v>
      </c>
      <c r="P70" s="130" t="s">
        <v>301</v>
      </c>
      <c r="Q70" s="130" t="s">
        <v>301</v>
      </c>
      <c r="R70" s="130" t="s">
        <v>301</v>
      </c>
      <c r="S70" s="130" t="s">
        <v>301</v>
      </c>
      <c r="T70" s="130" t="s">
        <v>301</v>
      </c>
      <c r="U70" s="130" t="s">
        <v>301</v>
      </c>
      <c r="V70" s="130" t="s">
        <v>301</v>
      </c>
      <c r="W70" s="130" t="s">
        <v>301</v>
      </c>
      <c r="X70" s="132" t="s">
        <v>301</v>
      </c>
      <c r="Y70" s="130" t="s">
        <v>301</v>
      </c>
      <c r="Z70" s="130" t="s">
        <v>301</v>
      </c>
      <c r="AA70" s="130">
        <v>33</v>
      </c>
      <c r="AB70" s="131" t="s">
        <v>301</v>
      </c>
      <c r="AC70" s="130" t="s">
        <v>301</v>
      </c>
      <c r="AD70" s="130" t="s">
        <v>301</v>
      </c>
      <c r="AE70" s="130" t="s">
        <v>301</v>
      </c>
      <c r="AF70" s="130" t="s">
        <v>301</v>
      </c>
      <c r="AG70" s="130" t="s">
        <v>301</v>
      </c>
      <c r="AH70" s="130" t="s">
        <v>301</v>
      </c>
      <c r="AI70" s="130" t="s">
        <v>301</v>
      </c>
      <c r="AJ70" s="130" t="s">
        <v>301</v>
      </c>
      <c r="AK70" s="130">
        <v>527</v>
      </c>
      <c r="AL70" s="130">
        <v>121</v>
      </c>
      <c r="AM70" s="130">
        <v>138</v>
      </c>
      <c r="AN70" s="130">
        <v>218</v>
      </c>
      <c r="AO70" s="130">
        <v>168</v>
      </c>
      <c r="AP70" s="130">
        <v>233</v>
      </c>
      <c r="AQ70" s="130">
        <v>17</v>
      </c>
      <c r="AR70" s="130">
        <v>123</v>
      </c>
      <c r="AS70" s="130" t="s">
        <v>301</v>
      </c>
      <c r="AT70" s="130">
        <v>432</v>
      </c>
      <c r="AU70" s="130">
        <v>125</v>
      </c>
      <c r="AV70" s="130">
        <v>84</v>
      </c>
      <c r="AW70" s="130">
        <v>10</v>
      </c>
      <c r="AX70" s="130">
        <v>38</v>
      </c>
      <c r="AY70" s="130">
        <v>36</v>
      </c>
      <c r="AZ70" s="130">
        <v>134</v>
      </c>
      <c r="BA70" s="130">
        <v>46</v>
      </c>
      <c r="BB70" s="130">
        <v>70</v>
      </c>
      <c r="BC70" s="130">
        <v>305</v>
      </c>
      <c r="BD70" s="130">
        <v>303</v>
      </c>
      <c r="BE70" s="130">
        <v>55</v>
      </c>
      <c r="BF70" s="130">
        <v>48</v>
      </c>
      <c r="BG70" s="130">
        <v>45</v>
      </c>
      <c r="BH70" s="130">
        <v>160</v>
      </c>
      <c r="BI70" s="130">
        <v>132</v>
      </c>
      <c r="BJ70" s="130" t="s">
        <v>301</v>
      </c>
      <c r="BK70" s="130" t="s">
        <v>301</v>
      </c>
      <c r="BL70" s="130" t="s">
        <v>301</v>
      </c>
      <c r="BM70" s="130" t="s">
        <v>301</v>
      </c>
      <c r="BN70" s="130" t="s">
        <v>301</v>
      </c>
      <c r="BO70" s="130">
        <v>3601</v>
      </c>
      <c r="BP70" s="130">
        <v>11460</v>
      </c>
      <c r="BQ70" s="130">
        <v>1775</v>
      </c>
      <c r="BR70" s="130" t="s">
        <v>301</v>
      </c>
      <c r="BS70" s="130" t="s">
        <v>301</v>
      </c>
      <c r="BT70" s="130" t="s">
        <v>301</v>
      </c>
      <c r="BU70" s="130" t="s">
        <v>301</v>
      </c>
      <c r="BV70" s="130" t="s">
        <v>301</v>
      </c>
      <c r="BW70" s="130" t="s">
        <v>301</v>
      </c>
    </row>
    <row r="71" spans="1:75" x14ac:dyDescent="0.2">
      <c r="A71" s="130" t="s">
        <v>360</v>
      </c>
      <c r="B71" s="130" t="s">
        <v>301</v>
      </c>
      <c r="C71" s="130">
        <v>17</v>
      </c>
      <c r="D71" s="130">
        <v>8</v>
      </c>
      <c r="E71" s="130">
        <v>88</v>
      </c>
      <c r="F71" s="131">
        <v>37</v>
      </c>
      <c r="G71" s="130">
        <v>5</v>
      </c>
      <c r="H71" s="130">
        <v>10</v>
      </c>
      <c r="I71" s="130">
        <v>7</v>
      </c>
      <c r="J71" s="130" t="s">
        <v>301</v>
      </c>
      <c r="K71" s="130">
        <v>5</v>
      </c>
      <c r="L71" s="130">
        <v>67</v>
      </c>
      <c r="M71" s="130">
        <v>2</v>
      </c>
      <c r="N71" s="130">
        <v>6</v>
      </c>
      <c r="O71" s="130">
        <v>4</v>
      </c>
      <c r="P71" s="130">
        <v>7</v>
      </c>
      <c r="Q71" s="130">
        <v>1</v>
      </c>
      <c r="R71" s="130">
        <v>2</v>
      </c>
      <c r="S71" s="130">
        <v>1</v>
      </c>
      <c r="T71" s="130">
        <v>11</v>
      </c>
      <c r="U71" s="130">
        <v>2</v>
      </c>
      <c r="V71" s="130">
        <v>1</v>
      </c>
      <c r="W71" s="130">
        <v>6</v>
      </c>
      <c r="X71" s="132" t="s">
        <v>301</v>
      </c>
      <c r="Y71" s="130">
        <v>18</v>
      </c>
      <c r="Z71" s="130" t="s">
        <v>301</v>
      </c>
      <c r="AA71" s="130" t="s">
        <v>301</v>
      </c>
      <c r="AB71" s="131">
        <v>522</v>
      </c>
      <c r="AC71" s="130">
        <v>41</v>
      </c>
      <c r="AD71" s="130" t="s">
        <v>301</v>
      </c>
      <c r="AE71" s="130" t="s">
        <v>301</v>
      </c>
      <c r="AF71" s="130">
        <v>184</v>
      </c>
      <c r="AG71" s="130">
        <v>1</v>
      </c>
      <c r="AH71" s="130">
        <v>19</v>
      </c>
      <c r="AI71" s="130">
        <v>228</v>
      </c>
      <c r="AJ71" s="130">
        <v>19</v>
      </c>
      <c r="AK71" s="130">
        <v>50</v>
      </c>
      <c r="AL71" s="130">
        <v>102</v>
      </c>
      <c r="AM71" s="130">
        <v>11</v>
      </c>
      <c r="AN71" s="130">
        <v>31</v>
      </c>
      <c r="AO71" s="130">
        <v>199</v>
      </c>
      <c r="AP71" s="130">
        <v>614</v>
      </c>
      <c r="AQ71" s="130">
        <v>286</v>
      </c>
      <c r="AR71" s="130">
        <v>135</v>
      </c>
      <c r="AS71" s="130" t="s">
        <v>301</v>
      </c>
      <c r="AT71" s="130">
        <v>377</v>
      </c>
      <c r="AU71" s="130">
        <v>44</v>
      </c>
      <c r="AV71" s="130">
        <v>162</v>
      </c>
      <c r="AW71" s="130">
        <v>3</v>
      </c>
      <c r="AX71" s="130">
        <v>13</v>
      </c>
      <c r="AY71" s="130">
        <v>30</v>
      </c>
      <c r="AZ71" s="130">
        <v>45</v>
      </c>
      <c r="BA71" s="130">
        <v>9</v>
      </c>
      <c r="BB71" s="130">
        <v>45</v>
      </c>
      <c r="BC71" s="130">
        <v>59</v>
      </c>
      <c r="BD71" s="130">
        <v>892</v>
      </c>
      <c r="BE71" s="130">
        <v>361</v>
      </c>
      <c r="BF71" s="130">
        <v>591</v>
      </c>
      <c r="BG71" s="130">
        <v>141</v>
      </c>
      <c r="BH71" s="130">
        <v>32</v>
      </c>
      <c r="BI71" s="130">
        <v>96</v>
      </c>
      <c r="BJ71" s="130">
        <v>3</v>
      </c>
      <c r="BK71" s="130" t="s">
        <v>301</v>
      </c>
      <c r="BL71" s="130">
        <v>65</v>
      </c>
      <c r="BM71" s="130" t="s">
        <v>301</v>
      </c>
      <c r="BN71" s="130" t="s">
        <v>301</v>
      </c>
      <c r="BO71" s="130">
        <v>5715</v>
      </c>
      <c r="BP71" s="130">
        <v>3968</v>
      </c>
      <c r="BQ71" s="130" t="s">
        <v>301</v>
      </c>
      <c r="BR71" s="130">
        <v>17115</v>
      </c>
      <c r="BS71" s="130" t="s">
        <v>301</v>
      </c>
      <c r="BT71" s="130" t="s">
        <v>301</v>
      </c>
      <c r="BU71" s="130" t="s">
        <v>301</v>
      </c>
      <c r="BV71" s="130" t="s">
        <v>301</v>
      </c>
      <c r="BW71" s="130">
        <v>4</v>
      </c>
    </row>
    <row r="72" spans="1:75" x14ac:dyDescent="0.2">
      <c r="A72" s="131" t="s">
        <v>361</v>
      </c>
      <c r="B72" s="131">
        <v>208</v>
      </c>
      <c r="C72" s="131">
        <v>82</v>
      </c>
      <c r="D72" s="131">
        <v>26</v>
      </c>
      <c r="E72" s="131">
        <v>1068</v>
      </c>
      <c r="F72" s="131">
        <v>107</v>
      </c>
      <c r="G72" s="131">
        <v>5</v>
      </c>
      <c r="H72" s="131">
        <v>76</v>
      </c>
      <c r="I72" s="131">
        <v>67</v>
      </c>
      <c r="J72" s="131">
        <v>11</v>
      </c>
      <c r="K72" s="131">
        <v>44</v>
      </c>
      <c r="L72" s="131">
        <v>47</v>
      </c>
      <c r="M72" s="131">
        <v>6</v>
      </c>
      <c r="N72" s="131">
        <v>31</v>
      </c>
      <c r="O72" s="131">
        <v>38</v>
      </c>
      <c r="P72" s="131">
        <v>68</v>
      </c>
      <c r="Q72" s="131">
        <v>46</v>
      </c>
      <c r="R72" s="131">
        <v>7</v>
      </c>
      <c r="S72" s="131">
        <v>6</v>
      </c>
      <c r="T72" s="131">
        <v>24</v>
      </c>
      <c r="U72" s="131">
        <v>22</v>
      </c>
      <c r="V72" s="131">
        <v>10</v>
      </c>
      <c r="W72" s="131">
        <v>18</v>
      </c>
      <c r="X72" s="132" t="s">
        <v>301</v>
      </c>
      <c r="Y72" s="131">
        <v>62</v>
      </c>
      <c r="Z72" s="131">
        <v>2</v>
      </c>
      <c r="AA72" s="131">
        <v>469</v>
      </c>
      <c r="AB72" s="131">
        <v>1102</v>
      </c>
      <c r="AC72" s="131">
        <v>45</v>
      </c>
      <c r="AD72" s="131">
        <v>22</v>
      </c>
      <c r="AE72" s="131">
        <v>12</v>
      </c>
      <c r="AF72" s="131">
        <v>642</v>
      </c>
      <c r="AG72" s="131">
        <v>2</v>
      </c>
      <c r="AH72" s="131">
        <v>79</v>
      </c>
      <c r="AI72" s="131">
        <v>162</v>
      </c>
      <c r="AJ72" s="131">
        <v>14</v>
      </c>
      <c r="AK72" s="131">
        <v>331</v>
      </c>
      <c r="AL72" s="131">
        <v>125</v>
      </c>
      <c r="AM72" s="131">
        <v>91</v>
      </c>
      <c r="AN72" s="131">
        <v>179</v>
      </c>
      <c r="AO72" s="131">
        <v>528</v>
      </c>
      <c r="AP72" s="131">
        <v>618</v>
      </c>
      <c r="AQ72" s="131">
        <v>148</v>
      </c>
      <c r="AR72" s="131">
        <v>139</v>
      </c>
      <c r="AS72" s="131" t="s">
        <v>301</v>
      </c>
      <c r="AT72" s="131">
        <v>1082</v>
      </c>
      <c r="AU72" s="131">
        <v>648</v>
      </c>
      <c r="AV72" s="131">
        <v>298</v>
      </c>
      <c r="AW72" s="131">
        <v>74</v>
      </c>
      <c r="AX72" s="131">
        <v>126</v>
      </c>
      <c r="AY72" s="131">
        <v>239</v>
      </c>
      <c r="AZ72" s="131">
        <v>499</v>
      </c>
      <c r="BA72" s="131">
        <v>195</v>
      </c>
      <c r="BB72" s="131">
        <v>61</v>
      </c>
      <c r="BC72" s="131">
        <v>1135</v>
      </c>
      <c r="BD72" s="131">
        <v>1507</v>
      </c>
      <c r="BE72" s="131">
        <v>719</v>
      </c>
      <c r="BF72" s="131">
        <v>1937</v>
      </c>
      <c r="BG72" s="131">
        <v>699</v>
      </c>
      <c r="BH72" s="131">
        <v>112</v>
      </c>
      <c r="BI72" s="131">
        <v>127</v>
      </c>
      <c r="BJ72" s="131">
        <v>539</v>
      </c>
      <c r="BK72" s="131" t="s">
        <v>301</v>
      </c>
      <c r="BL72" s="131">
        <v>34</v>
      </c>
      <c r="BM72" s="131" t="s">
        <v>301</v>
      </c>
      <c r="BN72" s="131" t="s">
        <v>301</v>
      </c>
      <c r="BO72" s="131">
        <v>16820</v>
      </c>
      <c r="BP72" s="131">
        <v>2974</v>
      </c>
      <c r="BQ72" s="131" t="s">
        <v>301</v>
      </c>
      <c r="BR72" s="131" t="s">
        <v>301</v>
      </c>
      <c r="BS72" s="131" t="s">
        <v>301</v>
      </c>
      <c r="BT72" s="131" t="s">
        <v>301</v>
      </c>
      <c r="BU72" s="131" t="s">
        <v>301</v>
      </c>
      <c r="BV72" s="131" t="s">
        <v>301</v>
      </c>
      <c r="BW72" s="131">
        <v>152</v>
      </c>
    </row>
    <row r="73" spans="1:75" x14ac:dyDescent="0.2">
      <c r="A73" s="130" t="s">
        <v>362</v>
      </c>
      <c r="B73" s="130" t="s">
        <v>301</v>
      </c>
      <c r="C73" s="130">
        <v>1</v>
      </c>
      <c r="D73" s="130" t="s">
        <v>301</v>
      </c>
      <c r="E73" s="130">
        <v>3</v>
      </c>
      <c r="F73" s="131" t="s">
        <v>301</v>
      </c>
      <c r="G73" s="130" t="s">
        <v>301</v>
      </c>
      <c r="H73" s="130" t="s">
        <v>301</v>
      </c>
      <c r="I73" s="130" t="s">
        <v>301</v>
      </c>
      <c r="J73" s="130" t="s">
        <v>301</v>
      </c>
      <c r="K73" s="130" t="s">
        <v>301</v>
      </c>
      <c r="L73" s="130" t="s">
        <v>301</v>
      </c>
      <c r="M73" s="130" t="s">
        <v>301</v>
      </c>
      <c r="N73" s="130" t="s">
        <v>301</v>
      </c>
      <c r="O73" s="130" t="s">
        <v>301</v>
      </c>
      <c r="P73" s="130" t="s">
        <v>301</v>
      </c>
      <c r="Q73" s="130" t="s">
        <v>301</v>
      </c>
      <c r="R73" s="130" t="s">
        <v>301</v>
      </c>
      <c r="S73" s="130" t="s">
        <v>301</v>
      </c>
      <c r="T73" s="130" t="s">
        <v>301</v>
      </c>
      <c r="U73" s="130" t="s">
        <v>301</v>
      </c>
      <c r="V73" s="130" t="s">
        <v>301</v>
      </c>
      <c r="W73" s="130" t="s">
        <v>301</v>
      </c>
      <c r="X73" s="132" t="s">
        <v>301</v>
      </c>
      <c r="Y73" s="130">
        <v>2</v>
      </c>
      <c r="Z73" s="130" t="s">
        <v>301</v>
      </c>
      <c r="AA73" s="130">
        <v>1</v>
      </c>
      <c r="AB73" s="131">
        <v>1</v>
      </c>
      <c r="AC73" s="130" t="s">
        <v>301</v>
      </c>
      <c r="AD73" s="130" t="s">
        <v>301</v>
      </c>
      <c r="AE73" s="130" t="s">
        <v>301</v>
      </c>
      <c r="AF73" s="130">
        <v>2</v>
      </c>
      <c r="AG73" s="130" t="s">
        <v>301</v>
      </c>
      <c r="AH73" s="130" t="s">
        <v>301</v>
      </c>
      <c r="AI73" s="130">
        <v>2</v>
      </c>
      <c r="AJ73" s="130" t="s">
        <v>301</v>
      </c>
      <c r="AK73" s="130">
        <v>146</v>
      </c>
      <c r="AL73" s="130">
        <v>1</v>
      </c>
      <c r="AM73" s="130">
        <v>120</v>
      </c>
      <c r="AN73" s="130" t="s">
        <v>301</v>
      </c>
      <c r="AO73" s="130">
        <v>2</v>
      </c>
      <c r="AP73" s="130">
        <v>13</v>
      </c>
      <c r="AQ73" s="130" t="s">
        <v>301</v>
      </c>
      <c r="AR73" s="130" t="s">
        <v>301</v>
      </c>
      <c r="AS73" s="130" t="s">
        <v>301</v>
      </c>
      <c r="AT73" s="130">
        <v>31</v>
      </c>
      <c r="AU73" s="130">
        <v>3</v>
      </c>
      <c r="AV73" s="130">
        <v>4</v>
      </c>
      <c r="AW73" s="130">
        <v>1</v>
      </c>
      <c r="AX73" s="130" t="s">
        <v>301</v>
      </c>
      <c r="AY73" s="130">
        <v>4</v>
      </c>
      <c r="AZ73" s="130">
        <v>1</v>
      </c>
      <c r="BA73" s="130">
        <v>1</v>
      </c>
      <c r="BB73" s="130">
        <v>2</v>
      </c>
      <c r="BC73" s="130">
        <v>15</v>
      </c>
      <c r="BD73" s="130">
        <v>134</v>
      </c>
      <c r="BE73" s="130">
        <v>131</v>
      </c>
      <c r="BF73" s="130">
        <v>432</v>
      </c>
      <c r="BG73" s="130">
        <v>222</v>
      </c>
      <c r="BH73" s="130">
        <v>19</v>
      </c>
      <c r="BI73" s="130">
        <v>13</v>
      </c>
      <c r="BJ73" s="130">
        <v>159</v>
      </c>
      <c r="BK73" s="130" t="s">
        <v>301</v>
      </c>
      <c r="BL73" s="130">
        <v>69</v>
      </c>
      <c r="BM73" s="130" t="s">
        <v>301</v>
      </c>
      <c r="BN73" s="130" t="s">
        <v>301</v>
      </c>
      <c r="BO73" s="130">
        <v>1535</v>
      </c>
      <c r="BP73" s="130">
        <v>14648</v>
      </c>
      <c r="BQ73" s="130">
        <v>32</v>
      </c>
      <c r="BR73" s="130" t="s">
        <v>301</v>
      </c>
      <c r="BS73" s="130" t="s">
        <v>301</v>
      </c>
      <c r="BT73" s="130" t="s">
        <v>301</v>
      </c>
      <c r="BU73" s="130" t="s">
        <v>301</v>
      </c>
      <c r="BV73" s="130" t="s">
        <v>301</v>
      </c>
      <c r="BW73" s="130">
        <v>21</v>
      </c>
    </row>
    <row r="74" spans="1:75" x14ac:dyDescent="0.2">
      <c r="A74" s="130" t="s">
        <v>362</v>
      </c>
      <c r="B74" s="130" t="s">
        <v>301</v>
      </c>
      <c r="C74" s="130" t="s">
        <v>301</v>
      </c>
      <c r="D74" s="130" t="s">
        <v>301</v>
      </c>
      <c r="E74" s="130" t="s">
        <v>301</v>
      </c>
      <c r="F74" s="131" t="s">
        <v>301</v>
      </c>
      <c r="G74" s="130" t="s">
        <v>301</v>
      </c>
      <c r="H74" s="130" t="s">
        <v>301</v>
      </c>
      <c r="I74" s="130" t="s">
        <v>301</v>
      </c>
      <c r="J74" s="130" t="s">
        <v>301</v>
      </c>
      <c r="K74" s="130" t="s">
        <v>301</v>
      </c>
      <c r="L74" s="130" t="s">
        <v>301</v>
      </c>
      <c r="M74" s="130" t="s">
        <v>301</v>
      </c>
      <c r="N74" s="130" t="s">
        <v>301</v>
      </c>
      <c r="O74" s="130" t="s">
        <v>301</v>
      </c>
      <c r="P74" s="130" t="s">
        <v>301</v>
      </c>
      <c r="Q74" s="130" t="s">
        <v>301</v>
      </c>
      <c r="R74" s="130" t="s">
        <v>301</v>
      </c>
      <c r="S74" s="130" t="s">
        <v>301</v>
      </c>
      <c r="T74" s="130" t="s">
        <v>301</v>
      </c>
      <c r="U74" s="130" t="s">
        <v>301</v>
      </c>
      <c r="V74" s="130" t="s">
        <v>301</v>
      </c>
      <c r="W74" s="130" t="s">
        <v>301</v>
      </c>
      <c r="X74" s="132" t="s">
        <v>301</v>
      </c>
      <c r="Y74" s="130" t="s">
        <v>301</v>
      </c>
      <c r="Z74" s="130" t="s">
        <v>301</v>
      </c>
      <c r="AA74" s="130" t="s">
        <v>301</v>
      </c>
      <c r="AB74" s="131" t="s">
        <v>301</v>
      </c>
      <c r="AC74" s="130" t="s">
        <v>301</v>
      </c>
      <c r="AD74" s="130" t="s">
        <v>301</v>
      </c>
      <c r="AE74" s="130" t="s">
        <v>301</v>
      </c>
      <c r="AF74" s="130" t="s">
        <v>301</v>
      </c>
      <c r="AG74" s="130" t="s">
        <v>301</v>
      </c>
      <c r="AH74" s="130" t="s">
        <v>301</v>
      </c>
      <c r="AI74" s="130" t="s">
        <v>301</v>
      </c>
      <c r="AJ74" s="130" t="s">
        <v>301</v>
      </c>
      <c r="AK74" s="130" t="s">
        <v>301</v>
      </c>
      <c r="AL74" s="130" t="s">
        <v>301</v>
      </c>
      <c r="AM74" s="130" t="s">
        <v>301</v>
      </c>
      <c r="AN74" s="130" t="s">
        <v>301</v>
      </c>
      <c r="AO74" s="130" t="s">
        <v>301</v>
      </c>
      <c r="AP74" s="130" t="s">
        <v>301</v>
      </c>
      <c r="AQ74" s="130" t="s">
        <v>301</v>
      </c>
      <c r="AR74" s="130" t="s">
        <v>301</v>
      </c>
      <c r="AS74" s="130" t="s">
        <v>301</v>
      </c>
      <c r="AT74" s="130" t="s">
        <v>301</v>
      </c>
      <c r="AU74" s="130" t="s">
        <v>301</v>
      </c>
      <c r="AV74" s="130" t="s">
        <v>301</v>
      </c>
      <c r="AW74" s="130" t="s">
        <v>301</v>
      </c>
      <c r="AX74" s="130" t="s">
        <v>301</v>
      </c>
      <c r="AY74" s="130" t="s">
        <v>301</v>
      </c>
      <c r="AZ74" s="130" t="s">
        <v>301</v>
      </c>
      <c r="BA74" s="130" t="s">
        <v>301</v>
      </c>
      <c r="BB74" s="130" t="s">
        <v>301</v>
      </c>
      <c r="BC74" s="130" t="s">
        <v>301</v>
      </c>
      <c r="BD74" s="130" t="s">
        <v>301</v>
      </c>
      <c r="BE74" s="130" t="s">
        <v>301</v>
      </c>
      <c r="BF74" s="130" t="s">
        <v>301</v>
      </c>
      <c r="BG74" s="130" t="s">
        <v>301</v>
      </c>
      <c r="BH74" s="130" t="s">
        <v>301</v>
      </c>
      <c r="BI74" s="130" t="s">
        <v>301</v>
      </c>
      <c r="BJ74" s="130" t="s">
        <v>301</v>
      </c>
      <c r="BK74" s="130" t="s">
        <v>301</v>
      </c>
      <c r="BL74" s="130" t="s">
        <v>301</v>
      </c>
      <c r="BM74" s="130" t="s">
        <v>301</v>
      </c>
      <c r="BN74" s="130" t="s">
        <v>301</v>
      </c>
      <c r="BO74" s="130">
        <v>0</v>
      </c>
      <c r="BP74" s="130">
        <v>3467</v>
      </c>
      <c r="BQ74" s="130" t="s">
        <v>301</v>
      </c>
      <c r="BR74" s="130" t="s">
        <v>301</v>
      </c>
      <c r="BS74" s="130" t="s">
        <v>301</v>
      </c>
      <c r="BT74" s="130" t="s">
        <v>301</v>
      </c>
      <c r="BU74" s="130" t="s">
        <v>301</v>
      </c>
      <c r="BV74" s="130" t="s">
        <v>301</v>
      </c>
      <c r="BW74" s="130" t="s">
        <v>301</v>
      </c>
    </row>
    <row r="75" spans="1:75" x14ac:dyDescent="0.2">
      <c r="A75" s="130" t="s">
        <v>363</v>
      </c>
      <c r="B75" s="130" t="s">
        <v>301</v>
      </c>
      <c r="C75" s="130" t="s">
        <v>301</v>
      </c>
      <c r="D75" s="130" t="s">
        <v>301</v>
      </c>
      <c r="E75" s="130" t="s">
        <v>301</v>
      </c>
      <c r="F75" s="131" t="s">
        <v>301</v>
      </c>
      <c r="G75" s="130" t="s">
        <v>301</v>
      </c>
      <c r="H75" s="130" t="s">
        <v>301</v>
      </c>
      <c r="I75" s="130" t="s">
        <v>301</v>
      </c>
      <c r="J75" s="130" t="s">
        <v>301</v>
      </c>
      <c r="K75" s="130" t="s">
        <v>301</v>
      </c>
      <c r="L75" s="130" t="s">
        <v>301</v>
      </c>
      <c r="M75" s="130" t="s">
        <v>301</v>
      </c>
      <c r="N75" s="130" t="s">
        <v>301</v>
      </c>
      <c r="O75" s="130" t="s">
        <v>301</v>
      </c>
      <c r="P75" s="130" t="s">
        <v>301</v>
      </c>
      <c r="Q75" s="130" t="s">
        <v>301</v>
      </c>
      <c r="R75" s="130" t="s">
        <v>301</v>
      </c>
      <c r="S75" s="130" t="s">
        <v>301</v>
      </c>
      <c r="T75" s="130" t="s">
        <v>301</v>
      </c>
      <c r="U75" s="130" t="s">
        <v>301</v>
      </c>
      <c r="V75" s="130" t="s">
        <v>301</v>
      </c>
      <c r="W75" s="130" t="s">
        <v>301</v>
      </c>
      <c r="X75" s="132" t="s">
        <v>301</v>
      </c>
      <c r="Y75" s="130" t="s">
        <v>301</v>
      </c>
      <c r="Z75" s="130" t="s">
        <v>301</v>
      </c>
      <c r="AA75" s="130" t="s">
        <v>301</v>
      </c>
      <c r="AB75" s="131" t="s">
        <v>301</v>
      </c>
      <c r="AC75" s="130" t="s">
        <v>301</v>
      </c>
      <c r="AD75" s="130" t="s">
        <v>301</v>
      </c>
      <c r="AE75" s="130" t="s">
        <v>301</v>
      </c>
      <c r="AF75" s="130" t="s">
        <v>301</v>
      </c>
      <c r="AG75" s="130" t="s">
        <v>301</v>
      </c>
      <c r="AH75" s="130" t="s">
        <v>301</v>
      </c>
      <c r="AI75" s="130" t="s">
        <v>301</v>
      </c>
      <c r="AJ75" s="130" t="s">
        <v>301</v>
      </c>
      <c r="AK75" s="130" t="s">
        <v>301</v>
      </c>
      <c r="AL75" s="130" t="s">
        <v>301</v>
      </c>
      <c r="AM75" s="130" t="s">
        <v>301</v>
      </c>
      <c r="AN75" s="130" t="s">
        <v>301</v>
      </c>
      <c r="AO75" s="130" t="s">
        <v>301</v>
      </c>
      <c r="AP75" s="130" t="s">
        <v>301</v>
      </c>
      <c r="AQ75" s="130" t="s">
        <v>301</v>
      </c>
      <c r="AR75" s="130" t="s">
        <v>301</v>
      </c>
      <c r="AS75" s="130" t="s">
        <v>301</v>
      </c>
      <c r="AT75" s="130" t="s">
        <v>301</v>
      </c>
      <c r="AU75" s="130" t="s">
        <v>301</v>
      </c>
      <c r="AV75" s="130" t="s">
        <v>301</v>
      </c>
      <c r="AW75" s="130" t="s">
        <v>301</v>
      </c>
      <c r="AX75" s="130" t="s">
        <v>301</v>
      </c>
      <c r="AY75" s="130" t="s">
        <v>301</v>
      </c>
      <c r="AZ75" s="130" t="s">
        <v>301</v>
      </c>
      <c r="BA75" s="130" t="s">
        <v>301</v>
      </c>
      <c r="BB75" s="130" t="s">
        <v>301</v>
      </c>
      <c r="BC75" s="130" t="s">
        <v>301</v>
      </c>
      <c r="BD75" s="130" t="s">
        <v>301</v>
      </c>
      <c r="BE75" s="130" t="s">
        <v>301</v>
      </c>
      <c r="BF75" s="130" t="s">
        <v>301</v>
      </c>
      <c r="BG75" s="130" t="s">
        <v>301</v>
      </c>
      <c r="BH75" s="130" t="s">
        <v>301</v>
      </c>
      <c r="BI75" s="130" t="s">
        <v>301</v>
      </c>
      <c r="BJ75" s="130" t="s">
        <v>301</v>
      </c>
      <c r="BK75" s="130" t="s">
        <v>301</v>
      </c>
      <c r="BL75" s="130" t="s">
        <v>301</v>
      </c>
      <c r="BM75" s="130" t="s">
        <v>301</v>
      </c>
      <c r="BN75" s="130" t="s">
        <v>301</v>
      </c>
      <c r="BO75" s="130">
        <v>0</v>
      </c>
      <c r="BP75" s="130" t="s">
        <v>301</v>
      </c>
      <c r="BQ75" s="130" t="s">
        <v>301</v>
      </c>
      <c r="BR75" s="130" t="s">
        <v>301</v>
      </c>
      <c r="BS75" s="130" t="s">
        <v>301</v>
      </c>
      <c r="BT75" s="130" t="s">
        <v>301</v>
      </c>
      <c r="BU75" s="130" t="s">
        <v>301</v>
      </c>
      <c r="BV75" s="130" t="s">
        <v>301</v>
      </c>
      <c r="BW75" s="130" t="s">
        <v>301</v>
      </c>
    </row>
    <row r="76" spans="1:75" x14ac:dyDescent="0.2">
      <c r="A76" s="130" t="s">
        <v>364</v>
      </c>
      <c r="B76" s="130" t="s">
        <v>301</v>
      </c>
      <c r="C76" s="130" t="s">
        <v>301</v>
      </c>
      <c r="D76" s="130" t="s">
        <v>301</v>
      </c>
      <c r="E76" s="130" t="s">
        <v>301</v>
      </c>
      <c r="F76" s="131" t="s">
        <v>301</v>
      </c>
      <c r="G76" s="130" t="s">
        <v>301</v>
      </c>
      <c r="H76" s="130" t="s">
        <v>301</v>
      </c>
      <c r="I76" s="130" t="s">
        <v>301</v>
      </c>
      <c r="J76" s="130" t="s">
        <v>301</v>
      </c>
      <c r="K76" s="130" t="s">
        <v>301</v>
      </c>
      <c r="L76" s="130" t="s">
        <v>301</v>
      </c>
      <c r="M76" s="130" t="s">
        <v>301</v>
      </c>
      <c r="N76" s="130" t="s">
        <v>301</v>
      </c>
      <c r="O76" s="130" t="s">
        <v>301</v>
      </c>
      <c r="P76" s="130" t="s">
        <v>301</v>
      </c>
      <c r="Q76" s="130" t="s">
        <v>301</v>
      </c>
      <c r="R76" s="130" t="s">
        <v>301</v>
      </c>
      <c r="S76" s="130" t="s">
        <v>301</v>
      </c>
      <c r="T76" s="130" t="s">
        <v>301</v>
      </c>
      <c r="U76" s="130" t="s">
        <v>301</v>
      </c>
      <c r="V76" s="130" t="s">
        <v>301</v>
      </c>
      <c r="W76" s="130" t="s">
        <v>301</v>
      </c>
      <c r="X76" s="132" t="s">
        <v>301</v>
      </c>
      <c r="Y76" s="130" t="s">
        <v>301</v>
      </c>
      <c r="Z76" s="130" t="s">
        <v>301</v>
      </c>
      <c r="AA76" s="130" t="s">
        <v>301</v>
      </c>
      <c r="AB76" s="131" t="s">
        <v>301</v>
      </c>
      <c r="AC76" s="130" t="s">
        <v>301</v>
      </c>
      <c r="AD76" s="130" t="s">
        <v>301</v>
      </c>
      <c r="AE76" s="130" t="s">
        <v>301</v>
      </c>
      <c r="AF76" s="130" t="s">
        <v>301</v>
      </c>
      <c r="AG76" s="130" t="s">
        <v>301</v>
      </c>
      <c r="AH76" s="130" t="s">
        <v>301</v>
      </c>
      <c r="AI76" s="130" t="s">
        <v>301</v>
      </c>
      <c r="AJ76" s="130" t="s">
        <v>301</v>
      </c>
      <c r="AK76" s="130" t="s">
        <v>301</v>
      </c>
      <c r="AL76" s="130" t="s">
        <v>301</v>
      </c>
      <c r="AM76" s="130" t="s">
        <v>301</v>
      </c>
      <c r="AN76" s="130" t="s">
        <v>301</v>
      </c>
      <c r="AO76" s="130" t="s">
        <v>301</v>
      </c>
      <c r="AP76" s="130" t="s">
        <v>301</v>
      </c>
      <c r="AQ76" s="130" t="s">
        <v>301</v>
      </c>
      <c r="AR76" s="130" t="s">
        <v>301</v>
      </c>
      <c r="AS76" s="130" t="s">
        <v>301</v>
      </c>
      <c r="AT76" s="130" t="s">
        <v>301</v>
      </c>
      <c r="AU76" s="130" t="s">
        <v>301</v>
      </c>
      <c r="AV76" s="130" t="s">
        <v>301</v>
      </c>
      <c r="AW76" s="130" t="s">
        <v>301</v>
      </c>
      <c r="AX76" s="130" t="s">
        <v>301</v>
      </c>
      <c r="AY76" s="130" t="s">
        <v>301</v>
      </c>
      <c r="AZ76" s="130" t="s">
        <v>301</v>
      </c>
      <c r="BA76" s="130" t="s">
        <v>301</v>
      </c>
      <c r="BB76" s="130" t="s">
        <v>301</v>
      </c>
      <c r="BC76" s="130" t="s">
        <v>301</v>
      </c>
      <c r="BD76" s="130" t="s">
        <v>301</v>
      </c>
      <c r="BE76" s="130" t="s">
        <v>301</v>
      </c>
      <c r="BF76" s="130" t="s">
        <v>301</v>
      </c>
      <c r="BG76" s="130" t="s">
        <v>301</v>
      </c>
      <c r="BH76" s="130" t="s">
        <v>301</v>
      </c>
      <c r="BI76" s="130" t="s">
        <v>301</v>
      </c>
      <c r="BJ76" s="130" t="s">
        <v>301</v>
      </c>
      <c r="BK76" s="130" t="s">
        <v>301</v>
      </c>
      <c r="BL76" s="130" t="s">
        <v>301</v>
      </c>
      <c r="BM76" s="130" t="s">
        <v>301</v>
      </c>
      <c r="BN76" s="130" t="s">
        <v>301</v>
      </c>
      <c r="BO76" s="130">
        <v>0</v>
      </c>
      <c r="BP76" s="130" t="s">
        <v>301</v>
      </c>
      <c r="BQ76" s="130" t="s">
        <v>301</v>
      </c>
      <c r="BR76" s="130" t="s">
        <v>301</v>
      </c>
      <c r="BS76" s="130" t="s">
        <v>301</v>
      </c>
      <c r="BT76" s="130" t="s">
        <v>301</v>
      </c>
      <c r="BU76" s="130" t="s">
        <v>301</v>
      </c>
      <c r="BV76" s="130" t="s">
        <v>301</v>
      </c>
      <c r="BW76" s="130" t="s">
        <v>301</v>
      </c>
    </row>
    <row r="77" spans="1:75" x14ac:dyDescent="0.2">
      <c r="A77" s="130" t="s">
        <v>126</v>
      </c>
      <c r="B77" s="130">
        <v>49573</v>
      </c>
      <c r="C77" s="130">
        <v>8590</v>
      </c>
      <c r="D77" s="130">
        <v>1517</v>
      </c>
      <c r="E77" s="130">
        <v>83440</v>
      </c>
      <c r="F77" s="131">
        <v>91480</v>
      </c>
      <c r="G77" s="130">
        <v>4268</v>
      </c>
      <c r="H77" s="130">
        <v>25203</v>
      </c>
      <c r="I77" s="130">
        <v>21267</v>
      </c>
      <c r="J77" s="130">
        <v>5661</v>
      </c>
      <c r="K77" s="130">
        <v>56491</v>
      </c>
      <c r="L77" s="130">
        <v>32462</v>
      </c>
      <c r="M77" s="130">
        <v>7609</v>
      </c>
      <c r="N77" s="130">
        <v>21588</v>
      </c>
      <c r="O77" s="130">
        <v>16094</v>
      </c>
      <c r="P77" s="130">
        <v>62700</v>
      </c>
      <c r="Q77" s="130">
        <v>24724</v>
      </c>
      <c r="R77" s="130">
        <v>9134</v>
      </c>
      <c r="S77" s="130">
        <v>7491</v>
      </c>
      <c r="T77" s="130">
        <v>25349</v>
      </c>
      <c r="U77" s="130">
        <v>81631</v>
      </c>
      <c r="V77" s="130">
        <v>23278</v>
      </c>
      <c r="W77" s="130">
        <v>17732</v>
      </c>
      <c r="X77" s="132">
        <v>0</v>
      </c>
      <c r="Y77" s="130">
        <v>16069</v>
      </c>
      <c r="Z77" s="130">
        <v>413</v>
      </c>
      <c r="AA77" s="130">
        <v>6136</v>
      </c>
      <c r="AB77" s="131">
        <v>191434</v>
      </c>
      <c r="AC77" s="130">
        <v>29300</v>
      </c>
      <c r="AD77" s="130">
        <v>57824</v>
      </c>
      <c r="AE77" s="130">
        <v>57908</v>
      </c>
      <c r="AF77" s="130">
        <v>59027</v>
      </c>
      <c r="AG77" s="130">
        <v>3771</v>
      </c>
      <c r="AH77" s="130">
        <v>17107</v>
      </c>
      <c r="AI77" s="130">
        <v>24555</v>
      </c>
      <c r="AJ77" s="130">
        <v>7029</v>
      </c>
      <c r="AK77" s="130">
        <v>53957</v>
      </c>
      <c r="AL77" s="130">
        <v>9063</v>
      </c>
      <c r="AM77" s="130">
        <v>13865</v>
      </c>
      <c r="AN77" s="130">
        <v>27025</v>
      </c>
      <c r="AO77" s="130">
        <v>28746</v>
      </c>
      <c r="AP77" s="130">
        <v>86256</v>
      </c>
      <c r="AQ77" s="130">
        <v>28134</v>
      </c>
      <c r="AR77" s="130">
        <v>9242</v>
      </c>
      <c r="AS77" s="130">
        <v>22412</v>
      </c>
      <c r="AT77" s="130">
        <v>59533</v>
      </c>
      <c r="AU77" s="130">
        <v>19981</v>
      </c>
      <c r="AV77" s="130">
        <v>14304</v>
      </c>
      <c r="AW77" s="130">
        <v>2734</v>
      </c>
      <c r="AX77" s="130">
        <v>4960</v>
      </c>
      <c r="AY77" s="130">
        <v>8954</v>
      </c>
      <c r="AZ77" s="130">
        <v>10925</v>
      </c>
      <c r="BA77" s="130">
        <v>5576</v>
      </c>
      <c r="BB77" s="130">
        <v>2318</v>
      </c>
      <c r="BC77" s="130">
        <v>24894</v>
      </c>
      <c r="BD77" s="130">
        <v>147835</v>
      </c>
      <c r="BE77" s="130">
        <v>28170</v>
      </c>
      <c r="BF77" s="130">
        <v>57280</v>
      </c>
      <c r="BG77" s="130">
        <v>12416</v>
      </c>
      <c r="BH77" s="130">
        <v>11049</v>
      </c>
      <c r="BI77" s="130">
        <v>5346</v>
      </c>
      <c r="BJ77" s="130">
        <v>13966</v>
      </c>
      <c r="BK77" s="130">
        <v>0</v>
      </c>
      <c r="BL77" s="130">
        <v>7438</v>
      </c>
      <c r="BM77" s="130">
        <v>0</v>
      </c>
      <c r="BN77" s="130">
        <v>0</v>
      </c>
      <c r="BO77" s="130">
        <v>1864234</v>
      </c>
      <c r="BP77" s="130">
        <v>1251380</v>
      </c>
      <c r="BQ77" s="130"/>
      <c r="BR77" s="130"/>
      <c r="BS77" s="130"/>
      <c r="BT77" s="130"/>
      <c r="BU77" s="130"/>
      <c r="BV77" s="130"/>
      <c r="BW77" s="130"/>
    </row>
    <row r="78" spans="1:75" x14ac:dyDescent="0.2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>
        <v>1864234</v>
      </c>
      <c r="BP78" s="130"/>
      <c r="BQ78" s="130"/>
      <c r="BR78" s="130"/>
      <c r="BS78" s="130"/>
      <c r="BT78" s="130"/>
      <c r="BU78" s="130"/>
      <c r="BV78" s="130"/>
      <c r="BW78" s="1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Y78"/>
  <sheetViews>
    <sheetView workbookViewId="0">
      <selection activeCell="H29" sqref="H29"/>
    </sheetView>
  </sheetViews>
  <sheetFormatPr baseColWidth="10" defaultColWidth="10.28515625" defaultRowHeight="12.75" x14ac:dyDescent="0.2"/>
  <cols>
    <col min="1" max="256" width="12.5703125" customWidth="1"/>
  </cols>
  <sheetData>
    <row r="1" spans="1:75" x14ac:dyDescent="0.2">
      <c r="A1" s="137" t="e">
        <v>#NAME?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</row>
    <row r="2" spans="1:75" x14ac:dyDescent="0.2">
      <c r="A2" s="137" t="s">
        <v>218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</row>
    <row r="3" spans="1:75" x14ac:dyDescent="0.2">
      <c r="A3" s="137" t="s">
        <v>219</v>
      </c>
      <c r="B3" s="137" t="s">
        <v>213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</row>
    <row r="4" spans="1:75" x14ac:dyDescent="0.2">
      <c r="A4" s="137" t="s">
        <v>220</v>
      </c>
      <c r="B4" s="137" t="s">
        <v>132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</row>
    <row r="5" spans="1:75" x14ac:dyDescent="0.2">
      <c r="A5" s="137" t="s">
        <v>221</v>
      </c>
      <c r="B5" s="137" t="s">
        <v>222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</row>
    <row r="6" spans="1:75" x14ac:dyDescent="0.2">
      <c r="A6" s="137" t="s">
        <v>223</v>
      </c>
      <c r="B6" s="137" t="s">
        <v>224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</row>
    <row r="7" spans="1:75" x14ac:dyDescent="0.2">
      <c r="A7" s="137" t="s">
        <v>225</v>
      </c>
      <c r="B7" s="137" t="s">
        <v>365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</row>
    <row r="8" spans="1:75" x14ac:dyDescent="0.2">
      <c r="A8" s="137" t="s">
        <v>227</v>
      </c>
      <c r="B8" s="137" t="s">
        <v>228</v>
      </c>
      <c r="C8" s="137" t="s">
        <v>229</v>
      </c>
      <c r="D8" s="137" t="s">
        <v>230</v>
      </c>
      <c r="E8" s="137" t="s">
        <v>231</v>
      </c>
      <c r="F8" s="138" t="s">
        <v>232</v>
      </c>
      <c r="G8" s="137" t="s">
        <v>233</v>
      </c>
      <c r="H8" s="137" t="s">
        <v>234</v>
      </c>
      <c r="I8" s="137" t="s">
        <v>235</v>
      </c>
      <c r="J8" s="137" t="s">
        <v>236</v>
      </c>
      <c r="K8" s="137" t="s">
        <v>237</v>
      </c>
      <c r="L8" s="137" t="s">
        <v>238</v>
      </c>
      <c r="M8" s="137" t="s">
        <v>239</v>
      </c>
      <c r="N8" s="137" t="s">
        <v>240</v>
      </c>
      <c r="O8" s="137" t="s">
        <v>241</v>
      </c>
      <c r="P8" s="137" t="s">
        <v>242</v>
      </c>
      <c r="Q8" s="137" t="s">
        <v>243</v>
      </c>
      <c r="R8" s="137" t="s">
        <v>244</v>
      </c>
      <c r="S8" s="137" t="s">
        <v>245</v>
      </c>
      <c r="T8" s="137" t="s">
        <v>246</v>
      </c>
      <c r="U8" s="137" t="s">
        <v>247</v>
      </c>
      <c r="V8" s="137" t="s">
        <v>248</v>
      </c>
      <c r="W8" s="137" t="s">
        <v>249</v>
      </c>
      <c r="X8" s="137" t="s">
        <v>250</v>
      </c>
      <c r="Y8" s="137" t="s">
        <v>251</v>
      </c>
      <c r="Z8" s="137" t="s">
        <v>252</v>
      </c>
      <c r="AA8" s="137" t="s">
        <v>253</v>
      </c>
      <c r="AB8" s="138" t="s">
        <v>254</v>
      </c>
      <c r="AC8" s="137" t="s">
        <v>255</v>
      </c>
      <c r="AD8" s="137" t="s">
        <v>256</v>
      </c>
      <c r="AE8" s="137" t="s">
        <v>257</v>
      </c>
      <c r="AF8" s="137" t="s">
        <v>258</v>
      </c>
      <c r="AG8" s="137" t="s">
        <v>259</v>
      </c>
      <c r="AH8" s="137" t="s">
        <v>260</v>
      </c>
      <c r="AI8" s="137" t="s">
        <v>261</v>
      </c>
      <c r="AJ8" s="137" t="s">
        <v>262</v>
      </c>
      <c r="AK8" s="137" t="s">
        <v>263</v>
      </c>
      <c r="AL8" s="137" t="s">
        <v>264</v>
      </c>
      <c r="AM8" s="137" t="s">
        <v>265</v>
      </c>
      <c r="AN8" s="137" t="s">
        <v>266</v>
      </c>
      <c r="AO8" s="137" t="s">
        <v>267</v>
      </c>
      <c r="AP8" s="137" t="s">
        <v>268</v>
      </c>
      <c r="AQ8" s="137" t="s">
        <v>269</v>
      </c>
      <c r="AR8" s="137" t="s">
        <v>270</v>
      </c>
      <c r="AS8" s="137" t="s">
        <v>271</v>
      </c>
      <c r="AT8" s="137" t="s">
        <v>272</v>
      </c>
      <c r="AU8" s="137" t="s">
        <v>273</v>
      </c>
      <c r="AV8" s="137" t="s">
        <v>274</v>
      </c>
      <c r="AW8" s="137" t="s">
        <v>275</v>
      </c>
      <c r="AX8" s="137" t="s">
        <v>276</v>
      </c>
      <c r="AY8" s="137" t="s">
        <v>277</v>
      </c>
      <c r="AZ8" s="137" t="s">
        <v>278</v>
      </c>
      <c r="BA8" s="137" t="s">
        <v>279</v>
      </c>
      <c r="BB8" s="137" t="s">
        <v>280</v>
      </c>
      <c r="BC8" s="137" t="s">
        <v>281</v>
      </c>
      <c r="BD8" s="137" t="s">
        <v>282</v>
      </c>
      <c r="BE8" s="137" t="s">
        <v>283</v>
      </c>
      <c r="BF8" s="137" t="s">
        <v>284</v>
      </c>
      <c r="BG8" s="137" t="s">
        <v>285</v>
      </c>
      <c r="BH8" s="137" t="s">
        <v>286</v>
      </c>
      <c r="BI8" s="137" t="s">
        <v>287</v>
      </c>
      <c r="BJ8" s="137" t="s">
        <v>288</v>
      </c>
      <c r="BK8" s="137" t="s">
        <v>289</v>
      </c>
      <c r="BL8" s="137" t="s">
        <v>290</v>
      </c>
      <c r="BM8" s="137" t="s">
        <v>366</v>
      </c>
      <c r="BN8" s="137" t="s">
        <v>290</v>
      </c>
      <c r="BO8" s="137" t="s">
        <v>291</v>
      </c>
      <c r="BP8" s="137" t="s">
        <v>292</v>
      </c>
      <c r="BQ8" s="137" t="s">
        <v>292</v>
      </c>
      <c r="BR8" s="137" t="s">
        <v>293</v>
      </c>
      <c r="BS8" s="137" t="s">
        <v>294</v>
      </c>
      <c r="BT8" s="137" t="s">
        <v>94</v>
      </c>
      <c r="BU8" s="137" t="s">
        <v>107</v>
      </c>
      <c r="BV8" s="137" t="s">
        <v>295</v>
      </c>
      <c r="BW8" s="137" t="s">
        <v>296</v>
      </c>
    </row>
    <row r="9" spans="1:75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 t="s">
        <v>297</v>
      </c>
      <c r="BR9" s="137"/>
      <c r="BS9" s="137"/>
      <c r="BT9" s="137"/>
      <c r="BU9" s="137"/>
      <c r="BV9" s="137"/>
      <c r="BW9" s="137"/>
    </row>
    <row r="10" spans="1:75" x14ac:dyDescent="0.2">
      <c r="A10" s="137" t="s">
        <v>298</v>
      </c>
      <c r="B10" s="137" t="s">
        <v>299</v>
      </c>
      <c r="C10" s="137" t="s">
        <v>299</v>
      </c>
      <c r="D10" s="137" t="s">
        <v>299</v>
      </c>
      <c r="E10" s="137" t="s">
        <v>299</v>
      </c>
      <c r="F10" s="138" t="s">
        <v>299</v>
      </c>
      <c r="G10" s="137" t="s">
        <v>299</v>
      </c>
      <c r="H10" s="137" t="s">
        <v>299</v>
      </c>
      <c r="I10" s="137" t="s">
        <v>299</v>
      </c>
      <c r="J10" s="137" t="s">
        <v>299</v>
      </c>
      <c r="K10" s="137" t="s">
        <v>299</v>
      </c>
      <c r="L10" s="137" t="s">
        <v>299</v>
      </c>
      <c r="M10" s="137" t="s">
        <v>299</v>
      </c>
      <c r="N10" s="137" t="s">
        <v>299</v>
      </c>
      <c r="O10" s="137" t="s">
        <v>299</v>
      </c>
      <c r="P10" s="137" t="s">
        <v>299</v>
      </c>
      <c r="Q10" s="137" t="s">
        <v>299</v>
      </c>
      <c r="R10" s="137" t="s">
        <v>299</v>
      </c>
      <c r="S10" s="137" t="s">
        <v>299</v>
      </c>
      <c r="T10" s="137" t="s">
        <v>299</v>
      </c>
      <c r="U10" s="137" t="s">
        <v>299</v>
      </c>
      <c r="V10" s="137" t="s">
        <v>299</v>
      </c>
      <c r="W10" s="137" t="s">
        <v>299</v>
      </c>
      <c r="X10" s="137" t="s">
        <v>299</v>
      </c>
      <c r="Y10" s="137" t="s">
        <v>299</v>
      </c>
      <c r="Z10" s="137" t="s">
        <v>299</v>
      </c>
      <c r="AA10" s="137" t="s">
        <v>299</v>
      </c>
      <c r="AB10" s="138" t="s">
        <v>299</v>
      </c>
      <c r="AC10" s="137" t="s">
        <v>299</v>
      </c>
      <c r="AD10" s="137" t="s">
        <v>299</v>
      </c>
      <c r="AE10" s="137" t="s">
        <v>299</v>
      </c>
      <c r="AF10" s="137" t="s">
        <v>299</v>
      </c>
      <c r="AG10" s="137" t="s">
        <v>299</v>
      </c>
      <c r="AH10" s="137" t="s">
        <v>299</v>
      </c>
      <c r="AI10" s="137" t="s">
        <v>299</v>
      </c>
      <c r="AJ10" s="137" t="s">
        <v>299</v>
      </c>
      <c r="AK10" s="137" t="s">
        <v>299</v>
      </c>
      <c r="AL10" s="137" t="s">
        <v>299</v>
      </c>
      <c r="AM10" s="137" t="s">
        <v>299</v>
      </c>
      <c r="AN10" s="137" t="s">
        <v>299</v>
      </c>
      <c r="AO10" s="137" t="s">
        <v>299</v>
      </c>
      <c r="AP10" s="137" t="s">
        <v>299</v>
      </c>
      <c r="AQ10" s="137" t="s">
        <v>299</v>
      </c>
      <c r="AR10" s="137" t="s">
        <v>299</v>
      </c>
      <c r="AS10" s="137" t="s">
        <v>299</v>
      </c>
      <c r="AT10" s="137" t="s">
        <v>299</v>
      </c>
      <c r="AU10" s="137" t="s">
        <v>299</v>
      </c>
      <c r="AV10" s="137" t="s">
        <v>299</v>
      </c>
      <c r="AW10" s="137" t="s">
        <v>299</v>
      </c>
      <c r="AX10" s="137" t="s">
        <v>299</v>
      </c>
      <c r="AY10" s="137" t="s">
        <v>299</v>
      </c>
      <c r="AZ10" s="137" t="s">
        <v>299</v>
      </c>
      <c r="BA10" s="137" t="s">
        <v>299</v>
      </c>
      <c r="BB10" s="137" t="s">
        <v>299</v>
      </c>
      <c r="BC10" s="137" t="s">
        <v>299</v>
      </c>
      <c r="BD10" s="137" t="s">
        <v>299</v>
      </c>
      <c r="BE10" s="137" t="s">
        <v>299</v>
      </c>
      <c r="BF10" s="137" t="s">
        <v>299</v>
      </c>
      <c r="BG10" s="137" t="s">
        <v>299</v>
      </c>
      <c r="BH10" s="137" t="s">
        <v>299</v>
      </c>
      <c r="BI10" s="137" t="s">
        <v>299</v>
      </c>
      <c r="BJ10" s="137" t="s">
        <v>299</v>
      </c>
      <c r="BK10" s="137" t="s">
        <v>299</v>
      </c>
      <c r="BL10" s="137" t="s">
        <v>299</v>
      </c>
      <c r="BM10" s="137"/>
      <c r="BN10" s="137" t="s">
        <v>299</v>
      </c>
      <c r="BO10" s="137" t="s">
        <v>299</v>
      </c>
      <c r="BP10" s="137" t="s">
        <v>299</v>
      </c>
      <c r="BQ10" s="137" t="s">
        <v>299</v>
      </c>
      <c r="BR10" s="137" t="s">
        <v>299</v>
      </c>
      <c r="BS10" s="137" t="s">
        <v>299</v>
      </c>
      <c r="BT10" s="137" t="s">
        <v>299</v>
      </c>
      <c r="BU10" s="137" t="s">
        <v>299</v>
      </c>
      <c r="BV10" s="137" t="s">
        <v>299</v>
      </c>
      <c r="BW10" s="137" t="s">
        <v>299</v>
      </c>
    </row>
    <row r="11" spans="1:75" x14ac:dyDescent="0.2">
      <c r="A11" s="137" t="s">
        <v>300</v>
      </c>
      <c r="B11" s="137">
        <v>103367.31</v>
      </c>
      <c r="C11" s="137">
        <v>294.64999999999998</v>
      </c>
      <c r="D11" s="137" t="s">
        <v>301</v>
      </c>
      <c r="E11" s="137">
        <v>112.06</v>
      </c>
      <c r="F11" s="138">
        <v>264093.56</v>
      </c>
      <c r="G11" s="137">
        <v>1260.04</v>
      </c>
      <c r="H11" s="137" t="s">
        <v>301</v>
      </c>
      <c r="I11" s="137" t="s">
        <v>301</v>
      </c>
      <c r="J11" s="137" t="s">
        <v>301</v>
      </c>
      <c r="K11" s="137" t="s">
        <v>301</v>
      </c>
      <c r="L11" s="137">
        <v>8858.26</v>
      </c>
      <c r="M11" s="137">
        <v>82.38</v>
      </c>
      <c r="N11" s="137" t="s">
        <v>301</v>
      </c>
      <c r="O11" s="137" t="s">
        <v>301</v>
      </c>
      <c r="P11" s="137" t="s">
        <v>301</v>
      </c>
      <c r="Q11" s="137" t="s">
        <v>301</v>
      </c>
      <c r="R11" s="137" t="s">
        <v>301</v>
      </c>
      <c r="S11" s="137" t="s">
        <v>301</v>
      </c>
      <c r="T11" s="137" t="s">
        <v>301</v>
      </c>
      <c r="U11" s="137" t="s">
        <v>301</v>
      </c>
      <c r="V11" s="137" t="s">
        <v>301</v>
      </c>
      <c r="W11" s="137">
        <v>302.60000000000002</v>
      </c>
      <c r="X11" s="137" t="s">
        <v>301</v>
      </c>
      <c r="Y11" s="137" t="s">
        <v>301</v>
      </c>
      <c r="Z11" s="137" t="s">
        <v>301</v>
      </c>
      <c r="AA11" s="137" t="s">
        <v>301</v>
      </c>
      <c r="AB11" s="138">
        <v>3512.37</v>
      </c>
      <c r="AC11" s="137">
        <v>761.4</v>
      </c>
      <c r="AD11" s="137">
        <v>1634.07</v>
      </c>
      <c r="AE11" s="137">
        <v>3000.63</v>
      </c>
      <c r="AF11" s="137">
        <v>39.36</v>
      </c>
      <c r="AG11" s="137">
        <v>104.48</v>
      </c>
      <c r="AH11" s="137" t="s">
        <v>301</v>
      </c>
      <c r="AI11" s="137" t="s">
        <v>301</v>
      </c>
      <c r="AJ11" s="137" t="s">
        <v>301</v>
      </c>
      <c r="AK11" s="137">
        <v>362.43</v>
      </c>
      <c r="AL11" s="137">
        <v>0</v>
      </c>
      <c r="AM11" s="137" t="s">
        <v>301</v>
      </c>
      <c r="AN11" s="137" t="s">
        <v>301</v>
      </c>
      <c r="AO11" s="137">
        <v>1.01</v>
      </c>
      <c r="AP11" s="137">
        <v>4.1900000000000004</v>
      </c>
      <c r="AQ11" s="137" t="s">
        <v>301</v>
      </c>
      <c r="AR11" s="137" t="s">
        <v>301</v>
      </c>
      <c r="AS11" s="137">
        <v>0.98</v>
      </c>
      <c r="AT11" s="137">
        <v>6.52</v>
      </c>
      <c r="AU11" s="137">
        <v>102.96</v>
      </c>
      <c r="AV11" s="137">
        <v>19.96</v>
      </c>
      <c r="AW11" s="137">
        <v>1164.44</v>
      </c>
      <c r="AX11" s="137">
        <v>58.58</v>
      </c>
      <c r="AY11" s="137" t="s">
        <v>301</v>
      </c>
      <c r="AZ11" s="137" t="s">
        <v>301</v>
      </c>
      <c r="BA11" s="137" t="s">
        <v>301</v>
      </c>
      <c r="BB11" s="137" t="s">
        <v>301</v>
      </c>
      <c r="BC11" s="137">
        <v>2347.33</v>
      </c>
      <c r="BD11" s="137">
        <v>6048.19</v>
      </c>
      <c r="BE11" s="137">
        <v>501.63</v>
      </c>
      <c r="BF11" s="137">
        <v>0</v>
      </c>
      <c r="BG11" s="137">
        <v>0</v>
      </c>
      <c r="BH11" s="137">
        <v>132.03</v>
      </c>
      <c r="BI11" s="137">
        <v>638.22</v>
      </c>
      <c r="BJ11" s="137">
        <v>55.39</v>
      </c>
      <c r="BK11" s="137" t="s">
        <v>301</v>
      </c>
      <c r="BL11" s="137" t="s">
        <v>301</v>
      </c>
      <c r="BM11" s="137">
        <v>398867.03</v>
      </c>
      <c r="BN11" s="137" t="s">
        <v>301</v>
      </c>
      <c r="BO11" s="137" t="s">
        <v>301</v>
      </c>
      <c r="BP11" s="137">
        <v>156495.41</v>
      </c>
      <c r="BQ11" s="137" t="s">
        <v>301</v>
      </c>
      <c r="BR11" s="137" t="s">
        <v>301</v>
      </c>
      <c r="BS11" s="137" t="s">
        <v>301</v>
      </c>
      <c r="BT11" s="137" t="s">
        <v>301</v>
      </c>
      <c r="BU11" s="137">
        <v>-7729.65</v>
      </c>
      <c r="BV11" s="137" t="s">
        <v>301</v>
      </c>
      <c r="BW11" s="137">
        <v>62193.33</v>
      </c>
    </row>
    <row r="12" spans="1:75" x14ac:dyDescent="0.2">
      <c r="A12" s="137" t="s">
        <v>302</v>
      </c>
      <c r="B12" s="137">
        <v>4.21</v>
      </c>
      <c r="C12" s="139">
        <v>8690.1200000000008</v>
      </c>
      <c r="D12" s="137" t="s">
        <v>301</v>
      </c>
      <c r="E12" s="137">
        <v>127.72</v>
      </c>
      <c r="F12" s="138">
        <v>399.4</v>
      </c>
      <c r="G12" s="137">
        <v>57.34</v>
      </c>
      <c r="H12" s="137">
        <v>17125.32</v>
      </c>
      <c r="I12" s="137">
        <v>8382.0499999999993</v>
      </c>
      <c r="J12" s="137">
        <v>56.36</v>
      </c>
      <c r="K12" s="137">
        <v>28.04</v>
      </c>
      <c r="L12" s="137">
        <v>590.62</v>
      </c>
      <c r="M12" s="137" t="s">
        <v>301</v>
      </c>
      <c r="N12" s="137">
        <v>2335.17</v>
      </c>
      <c r="O12" s="137">
        <v>1.61</v>
      </c>
      <c r="P12" s="137" t="s">
        <v>301</v>
      </c>
      <c r="Q12" s="137" t="s">
        <v>301</v>
      </c>
      <c r="R12" s="137" t="s">
        <v>301</v>
      </c>
      <c r="S12" s="137">
        <v>0</v>
      </c>
      <c r="T12" s="137" t="s">
        <v>301</v>
      </c>
      <c r="U12" s="137">
        <v>0</v>
      </c>
      <c r="V12" s="137" t="s">
        <v>301</v>
      </c>
      <c r="W12" s="137">
        <v>274.44</v>
      </c>
      <c r="X12" s="137" t="s">
        <v>301</v>
      </c>
      <c r="Y12" s="137" t="s">
        <v>301</v>
      </c>
      <c r="Z12" s="137" t="s">
        <v>301</v>
      </c>
      <c r="AA12" s="137" t="s">
        <v>301</v>
      </c>
      <c r="AB12" s="138" t="s">
        <v>301</v>
      </c>
      <c r="AC12" s="137" t="s">
        <v>301</v>
      </c>
      <c r="AD12" s="137" t="s">
        <v>301</v>
      </c>
      <c r="AE12" s="137">
        <v>2.41</v>
      </c>
      <c r="AF12" s="137" t="s">
        <v>301</v>
      </c>
      <c r="AG12" s="137" t="s">
        <v>301</v>
      </c>
      <c r="AH12" s="137" t="s">
        <v>301</v>
      </c>
      <c r="AI12" s="137" t="s">
        <v>301</v>
      </c>
      <c r="AJ12" s="137" t="s">
        <v>301</v>
      </c>
      <c r="AK12" s="137" t="s">
        <v>301</v>
      </c>
      <c r="AL12" s="137" t="s">
        <v>301</v>
      </c>
      <c r="AM12" s="137" t="s">
        <v>301</v>
      </c>
      <c r="AN12" s="137" t="s">
        <v>301</v>
      </c>
      <c r="AO12" s="137" t="s">
        <v>301</v>
      </c>
      <c r="AP12" s="137" t="s">
        <v>301</v>
      </c>
      <c r="AQ12" s="137" t="s">
        <v>301</v>
      </c>
      <c r="AR12" s="137" t="s">
        <v>301</v>
      </c>
      <c r="AS12" s="137" t="s">
        <v>301</v>
      </c>
      <c r="AT12" s="137" t="s">
        <v>301</v>
      </c>
      <c r="AU12" s="137">
        <v>0</v>
      </c>
      <c r="AV12" s="137" t="s">
        <v>301</v>
      </c>
      <c r="AW12" s="137">
        <v>15.17</v>
      </c>
      <c r="AX12" s="137" t="s">
        <v>301</v>
      </c>
      <c r="AY12" s="137" t="s">
        <v>301</v>
      </c>
      <c r="AZ12" s="137" t="s">
        <v>301</v>
      </c>
      <c r="BA12" s="137" t="s">
        <v>301</v>
      </c>
      <c r="BB12" s="137" t="s">
        <v>301</v>
      </c>
      <c r="BC12" s="137">
        <v>2.86</v>
      </c>
      <c r="BD12" s="137">
        <v>1157.6400000000001</v>
      </c>
      <c r="BE12" s="137">
        <v>50.64</v>
      </c>
      <c r="BF12" s="137" t="s">
        <v>301</v>
      </c>
      <c r="BG12" s="137" t="s">
        <v>301</v>
      </c>
      <c r="BH12" s="137" t="s">
        <v>301</v>
      </c>
      <c r="BI12" s="137" t="s">
        <v>301</v>
      </c>
      <c r="BJ12" s="137" t="s">
        <v>301</v>
      </c>
      <c r="BK12" s="137" t="s">
        <v>301</v>
      </c>
      <c r="BL12" s="137" t="s">
        <v>301</v>
      </c>
      <c r="BM12" s="137">
        <v>39301.12000000001</v>
      </c>
      <c r="BN12" s="137" t="s">
        <v>301</v>
      </c>
      <c r="BO12" s="137" t="s">
        <v>301</v>
      </c>
      <c r="BP12" s="137" t="s">
        <v>301</v>
      </c>
      <c r="BQ12" s="137" t="s">
        <v>301</v>
      </c>
      <c r="BR12" s="137" t="s">
        <v>301</v>
      </c>
      <c r="BS12" s="137" t="s">
        <v>301</v>
      </c>
      <c r="BT12" s="137" t="s">
        <v>301</v>
      </c>
      <c r="BU12" s="137">
        <v>-552.95000000000005</v>
      </c>
      <c r="BV12" s="137" t="s">
        <v>301</v>
      </c>
      <c r="BW12" s="137">
        <v>2565.8000000000002</v>
      </c>
    </row>
    <row r="13" spans="1:75" x14ac:dyDescent="0.2">
      <c r="A13" s="137" t="s">
        <v>303</v>
      </c>
      <c r="B13" s="137">
        <v>41.85</v>
      </c>
      <c r="C13" s="137" t="s">
        <v>301</v>
      </c>
      <c r="D13" s="137" t="s">
        <v>301</v>
      </c>
      <c r="E13" s="137" t="s">
        <v>301</v>
      </c>
      <c r="F13" s="138">
        <v>11759.58</v>
      </c>
      <c r="G13" s="137" t="s">
        <v>301</v>
      </c>
      <c r="H13" s="137" t="s">
        <v>301</v>
      </c>
      <c r="I13" s="137" t="s">
        <v>301</v>
      </c>
      <c r="J13" s="137" t="s">
        <v>301</v>
      </c>
      <c r="K13" s="137" t="s">
        <v>301</v>
      </c>
      <c r="L13" s="137">
        <v>21.46</v>
      </c>
      <c r="M13" s="137" t="s">
        <v>301</v>
      </c>
      <c r="N13" s="137" t="s">
        <v>301</v>
      </c>
      <c r="O13" s="137" t="s">
        <v>301</v>
      </c>
      <c r="P13" s="137" t="s">
        <v>301</v>
      </c>
      <c r="Q13" s="137" t="s">
        <v>301</v>
      </c>
      <c r="R13" s="137" t="s">
        <v>301</v>
      </c>
      <c r="S13" s="137" t="s">
        <v>301</v>
      </c>
      <c r="T13" s="137" t="s">
        <v>301</v>
      </c>
      <c r="U13" s="137" t="s">
        <v>301</v>
      </c>
      <c r="V13" s="137" t="s">
        <v>301</v>
      </c>
      <c r="W13" s="137" t="s">
        <v>301</v>
      </c>
      <c r="X13" s="137" t="s">
        <v>301</v>
      </c>
      <c r="Y13" s="137" t="s">
        <v>301</v>
      </c>
      <c r="Z13" s="137" t="s">
        <v>301</v>
      </c>
      <c r="AA13" s="137" t="s">
        <v>301</v>
      </c>
      <c r="AB13" s="138" t="s">
        <v>301</v>
      </c>
      <c r="AC13" s="137" t="s">
        <v>301</v>
      </c>
      <c r="AD13" s="137" t="s">
        <v>301</v>
      </c>
      <c r="AE13" s="137">
        <v>995.4</v>
      </c>
      <c r="AF13" s="137" t="s">
        <v>301</v>
      </c>
      <c r="AG13" s="137">
        <v>7.17</v>
      </c>
      <c r="AH13" s="137" t="s">
        <v>301</v>
      </c>
      <c r="AI13" s="137" t="s">
        <v>301</v>
      </c>
      <c r="AJ13" s="137" t="s">
        <v>301</v>
      </c>
      <c r="AK13" s="137">
        <v>8467.7199999999993</v>
      </c>
      <c r="AL13" s="137" t="s">
        <v>301</v>
      </c>
      <c r="AM13" s="137" t="s">
        <v>301</v>
      </c>
      <c r="AN13" s="137" t="s">
        <v>301</v>
      </c>
      <c r="AO13" s="137" t="s">
        <v>301</v>
      </c>
      <c r="AP13" s="137" t="s">
        <v>301</v>
      </c>
      <c r="AQ13" s="137" t="s">
        <v>301</v>
      </c>
      <c r="AR13" s="137" t="s">
        <v>301</v>
      </c>
      <c r="AS13" s="137" t="s">
        <v>301</v>
      </c>
      <c r="AT13" s="137" t="s">
        <v>301</v>
      </c>
      <c r="AU13" s="137">
        <v>1.83</v>
      </c>
      <c r="AV13" s="137" t="s">
        <v>301</v>
      </c>
      <c r="AW13" s="137">
        <v>176.8</v>
      </c>
      <c r="AX13" s="137" t="s">
        <v>301</v>
      </c>
      <c r="AY13" s="137" t="s">
        <v>301</v>
      </c>
      <c r="AZ13" s="137" t="s">
        <v>301</v>
      </c>
      <c r="BA13" s="137" t="s">
        <v>301</v>
      </c>
      <c r="BB13" s="137" t="s">
        <v>301</v>
      </c>
      <c r="BC13" s="137" t="s">
        <v>301</v>
      </c>
      <c r="BD13" s="137">
        <v>809.65</v>
      </c>
      <c r="BE13" s="137">
        <v>176.19</v>
      </c>
      <c r="BF13" s="137">
        <v>0</v>
      </c>
      <c r="BG13" s="137">
        <v>0</v>
      </c>
      <c r="BH13" s="137">
        <v>45.32</v>
      </c>
      <c r="BI13" s="137">
        <v>276.64999999999998</v>
      </c>
      <c r="BJ13" s="137">
        <v>264.92</v>
      </c>
      <c r="BK13" s="137" t="s">
        <v>301</v>
      </c>
      <c r="BL13" s="137" t="s">
        <v>301</v>
      </c>
      <c r="BM13" s="137">
        <v>23044.54</v>
      </c>
      <c r="BN13" s="137" t="s">
        <v>301</v>
      </c>
      <c r="BO13" s="137" t="s">
        <v>301</v>
      </c>
      <c r="BP13" s="137">
        <v>5944.5</v>
      </c>
      <c r="BQ13" s="137" t="s">
        <v>301</v>
      </c>
      <c r="BR13" s="137" t="s">
        <v>301</v>
      </c>
      <c r="BS13" s="137" t="s">
        <v>301</v>
      </c>
      <c r="BT13" s="137" t="s">
        <v>301</v>
      </c>
      <c r="BU13" s="137">
        <v>10.69</v>
      </c>
      <c r="BV13" s="137" t="s">
        <v>301</v>
      </c>
      <c r="BW13" s="137">
        <v>5756.05</v>
      </c>
    </row>
    <row r="14" spans="1:75" x14ac:dyDescent="0.2">
      <c r="A14" s="137" t="s">
        <v>304</v>
      </c>
      <c r="B14" s="137">
        <v>2464.85</v>
      </c>
      <c r="C14" s="137">
        <v>1.17</v>
      </c>
      <c r="D14" s="137" t="s">
        <v>301</v>
      </c>
      <c r="E14" s="139">
        <v>72295.759999999995</v>
      </c>
      <c r="F14" s="138">
        <v>1399.29</v>
      </c>
      <c r="G14" s="137">
        <v>71.3</v>
      </c>
      <c r="H14" s="137">
        <v>8.49</v>
      </c>
      <c r="I14" s="137">
        <v>1503.66</v>
      </c>
      <c r="J14" s="137">
        <v>0.02</v>
      </c>
      <c r="K14" s="137">
        <v>381673.56</v>
      </c>
      <c r="L14" s="137">
        <v>10535.29</v>
      </c>
      <c r="M14" s="137">
        <v>9.4700000000000006</v>
      </c>
      <c r="N14" s="137">
        <v>135.54</v>
      </c>
      <c r="O14" s="137">
        <v>16432.54</v>
      </c>
      <c r="P14" s="137">
        <v>15599.35</v>
      </c>
      <c r="Q14" s="137">
        <v>553.54999999999995</v>
      </c>
      <c r="R14" s="137">
        <v>4.28</v>
      </c>
      <c r="S14" s="137">
        <v>109.04</v>
      </c>
      <c r="T14" s="137">
        <v>159.51</v>
      </c>
      <c r="U14" s="137">
        <v>61.79</v>
      </c>
      <c r="V14" s="137">
        <v>209.41</v>
      </c>
      <c r="W14" s="137">
        <v>135.34</v>
      </c>
      <c r="X14" s="137">
        <v>36.1</v>
      </c>
      <c r="Y14" s="137">
        <v>57162.1</v>
      </c>
      <c r="Z14" s="137">
        <v>602.98</v>
      </c>
      <c r="AA14" s="137">
        <v>165.11</v>
      </c>
      <c r="AB14" s="138">
        <v>25887.25</v>
      </c>
      <c r="AC14" s="137">
        <v>9.43</v>
      </c>
      <c r="AD14" s="137">
        <v>24.54</v>
      </c>
      <c r="AE14" s="137">
        <v>5</v>
      </c>
      <c r="AF14" s="137">
        <v>223.44</v>
      </c>
      <c r="AG14" s="137">
        <v>0.01</v>
      </c>
      <c r="AH14" s="137" t="s">
        <v>301</v>
      </c>
      <c r="AI14" s="137">
        <v>5.86</v>
      </c>
      <c r="AJ14" s="137" t="s">
        <v>301</v>
      </c>
      <c r="AK14" s="137">
        <v>571.12</v>
      </c>
      <c r="AL14" s="137">
        <v>31.5</v>
      </c>
      <c r="AM14" s="137">
        <v>57.74</v>
      </c>
      <c r="AN14" s="137">
        <v>214.55</v>
      </c>
      <c r="AO14" s="137">
        <v>413.94</v>
      </c>
      <c r="AP14" s="137">
        <v>0</v>
      </c>
      <c r="AQ14" s="137">
        <v>0</v>
      </c>
      <c r="AR14" s="137">
        <v>0</v>
      </c>
      <c r="AS14" s="137">
        <v>19.260000000000002</v>
      </c>
      <c r="AT14" s="137">
        <v>31.94</v>
      </c>
      <c r="AU14" s="137">
        <v>78.930000000000007</v>
      </c>
      <c r="AV14" s="137">
        <v>570.11</v>
      </c>
      <c r="AW14" s="137">
        <v>895.25</v>
      </c>
      <c r="AX14" s="137">
        <v>0.02</v>
      </c>
      <c r="AY14" s="137">
        <v>0</v>
      </c>
      <c r="AZ14" s="137">
        <v>0</v>
      </c>
      <c r="BA14" s="137">
        <v>0.06</v>
      </c>
      <c r="BB14" s="137">
        <v>0.02</v>
      </c>
      <c r="BC14" s="137">
        <v>540.91999999999996</v>
      </c>
      <c r="BD14" s="137">
        <v>41056.120000000003</v>
      </c>
      <c r="BE14" s="137">
        <v>637.30999999999995</v>
      </c>
      <c r="BF14" s="137">
        <v>69.239999999999995</v>
      </c>
      <c r="BG14" s="137">
        <v>128.94999999999999</v>
      </c>
      <c r="BH14" s="137">
        <v>313.55</v>
      </c>
      <c r="BI14" s="137">
        <v>690.04</v>
      </c>
      <c r="BJ14" s="137">
        <v>422.25</v>
      </c>
      <c r="BK14" s="137">
        <v>66.11</v>
      </c>
      <c r="BL14" s="137">
        <v>353.9</v>
      </c>
      <c r="BM14" s="137">
        <v>634647.86</v>
      </c>
      <c r="BN14" s="137" t="s">
        <v>301</v>
      </c>
      <c r="BO14" s="137" t="s">
        <v>301</v>
      </c>
      <c r="BP14" s="137">
        <v>65.55</v>
      </c>
      <c r="BQ14" s="137" t="s">
        <v>301</v>
      </c>
      <c r="BR14" s="137" t="s">
        <v>301</v>
      </c>
      <c r="BS14" s="137" t="s">
        <v>301</v>
      </c>
      <c r="BT14" s="137">
        <v>130377.32</v>
      </c>
      <c r="BU14" s="137">
        <v>-3760.16</v>
      </c>
      <c r="BV14" s="137" t="s">
        <v>301</v>
      </c>
      <c r="BW14" s="137">
        <v>100680.6</v>
      </c>
    </row>
    <row r="15" spans="1:75" x14ac:dyDescent="0.2">
      <c r="A15" s="138" t="s">
        <v>305</v>
      </c>
      <c r="B15" s="138">
        <v>49021.22</v>
      </c>
      <c r="C15" s="138">
        <v>35.75</v>
      </c>
      <c r="D15" s="138">
        <v>0</v>
      </c>
      <c r="E15" s="138" t="s">
        <v>301</v>
      </c>
      <c r="F15" s="138">
        <v>195585.46</v>
      </c>
      <c r="G15" s="138">
        <v>464.3</v>
      </c>
      <c r="H15" s="138">
        <v>34.270000000000003</v>
      </c>
      <c r="I15" s="138">
        <v>1697.69</v>
      </c>
      <c r="J15" s="138">
        <v>741.88</v>
      </c>
      <c r="K15" s="138">
        <v>607.55999999999995</v>
      </c>
      <c r="L15" s="138">
        <v>3552.35</v>
      </c>
      <c r="M15" s="138">
        <v>981.53</v>
      </c>
      <c r="N15" s="138">
        <v>193.86</v>
      </c>
      <c r="O15" s="138">
        <v>338.11</v>
      </c>
      <c r="P15" s="138">
        <v>7.6</v>
      </c>
      <c r="Q15" s="138" t="s">
        <v>301</v>
      </c>
      <c r="R15" s="138" t="s">
        <v>301</v>
      </c>
      <c r="S15" s="138" t="s">
        <v>301</v>
      </c>
      <c r="T15" s="138" t="s">
        <v>301</v>
      </c>
      <c r="U15" s="138" t="s">
        <v>301</v>
      </c>
      <c r="V15" s="138" t="s">
        <v>301</v>
      </c>
      <c r="W15" s="138">
        <v>4.67</v>
      </c>
      <c r="X15" s="138" t="s">
        <v>301</v>
      </c>
      <c r="Y15" s="138" t="s">
        <v>301</v>
      </c>
      <c r="Z15" s="138" t="s">
        <v>301</v>
      </c>
      <c r="AA15" s="138" t="s">
        <v>301</v>
      </c>
      <c r="AB15" s="138" t="s">
        <v>301</v>
      </c>
      <c r="AC15" s="138">
        <v>7.71</v>
      </c>
      <c r="AD15" s="138">
        <v>3244.76</v>
      </c>
      <c r="AE15" s="138">
        <v>7374.02</v>
      </c>
      <c r="AF15" s="138">
        <v>93.74</v>
      </c>
      <c r="AG15" s="138">
        <v>804.17</v>
      </c>
      <c r="AH15" s="138">
        <v>1178.21</v>
      </c>
      <c r="AI15" s="138">
        <v>0.17</v>
      </c>
      <c r="AJ15" s="138" t="s">
        <v>301</v>
      </c>
      <c r="AK15" s="138">
        <v>88254.45</v>
      </c>
      <c r="AL15" s="138">
        <v>55.09</v>
      </c>
      <c r="AM15" s="138">
        <v>21.61</v>
      </c>
      <c r="AN15" s="138" t="s">
        <v>301</v>
      </c>
      <c r="AO15" s="138">
        <v>91.97</v>
      </c>
      <c r="AP15" s="138" t="s">
        <v>301</v>
      </c>
      <c r="AQ15" s="138" t="s">
        <v>301</v>
      </c>
      <c r="AR15" s="138" t="s">
        <v>301</v>
      </c>
      <c r="AS15" s="138" t="s">
        <v>301</v>
      </c>
      <c r="AT15" s="138" t="s">
        <v>301</v>
      </c>
      <c r="AU15" s="138">
        <v>40.659999999999997</v>
      </c>
      <c r="AV15" s="138">
        <v>29.54</v>
      </c>
      <c r="AW15" s="138">
        <v>1065.17</v>
      </c>
      <c r="AX15" s="138" t="s">
        <v>301</v>
      </c>
      <c r="AY15" s="138">
        <v>5112.53</v>
      </c>
      <c r="AZ15" s="138" t="s">
        <v>301</v>
      </c>
      <c r="BA15" s="138" t="s">
        <v>301</v>
      </c>
      <c r="BB15" s="138" t="s">
        <v>301</v>
      </c>
      <c r="BC15" s="138">
        <v>0.1</v>
      </c>
      <c r="BD15" s="138">
        <v>51498.41</v>
      </c>
      <c r="BE15" s="138">
        <v>30993.49</v>
      </c>
      <c r="BF15" s="138">
        <v>9615.42</v>
      </c>
      <c r="BG15" s="138">
        <v>18985.41</v>
      </c>
      <c r="BH15" s="138">
        <v>1779.15</v>
      </c>
      <c r="BI15" s="138">
        <v>8089.28</v>
      </c>
      <c r="BJ15" s="138">
        <v>3599.93</v>
      </c>
      <c r="BK15" s="138" t="s">
        <v>301</v>
      </c>
      <c r="BL15" s="138">
        <v>20.239999999999998</v>
      </c>
      <c r="BM15" s="138">
        <v>485221.47999999992</v>
      </c>
      <c r="BN15" s="138" t="s">
        <v>301</v>
      </c>
      <c r="BO15" s="138" t="s">
        <v>301</v>
      </c>
      <c r="BP15" s="138">
        <v>1054905.3</v>
      </c>
      <c r="BQ15" s="138" t="s">
        <v>301</v>
      </c>
      <c r="BR15" s="138" t="s">
        <v>301</v>
      </c>
      <c r="BS15" s="138" t="s">
        <v>301</v>
      </c>
      <c r="BT15" s="138" t="s">
        <v>301</v>
      </c>
      <c r="BU15" s="138">
        <v>2106.19</v>
      </c>
      <c r="BV15" s="138" t="s">
        <v>301</v>
      </c>
      <c r="BW15" s="138">
        <v>82567.56</v>
      </c>
    </row>
    <row r="16" spans="1:75" x14ac:dyDescent="0.2">
      <c r="A16" s="137" t="s">
        <v>306</v>
      </c>
      <c r="B16" s="137">
        <v>215.58</v>
      </c>
      <c r="C16" s="137" t="s">
        <v>301</v>
      </c>
      <c r="D16" s="137">
        <v>15.79</v>
      </c>
      <c r="E16" s="137">
        <v>2.5099999999999998</v>
      </c>
      <c r="F16" s="138">
        <v>220.27</v>
      </c>
      <c r="G16" s="139">
        <v>13154.22</v>
      </c>
      <c r="H16" s="137">
        <v>738.96</v>
      </c>
      <c r="I16" s="137">
        <v>3973.74</v>
      </c>
      <c r="J16" s="137">
        <v>1811.98</v>
      </c>
      <c r="K16" s="137">
        <v>9.9700000000000006</v>
      </c>
      <c r="L16" s="137">
        <v>10.81</v>
      </c>
      <c r="M16" s="137" t="s">
        <v>301</v>
      </c>
      <c r="N16" s="137">
        <v>3057.67</v>
      </c>
      <c r="O16" s="137">
        <v>791.81</v>
      </c>
      <c r="P16" s="137" t="s">
        <v>301</v>
      </c>
      <c r="Q16" s="137">
        <v>238.54</v>
      </c>
      <c r="R16" s="137">
        <v>2.73</v>
      </c>
      <c r="S16" s="137">
        <v>0.52</v>
      </c>
      <c r="T16" s="137">
        <v>1286.8699999999999</v>
      </c>
      <c r="U16" s="137">
        <v>7827.61</v>
      </c>
      <c r="V16" s="137">
        <v>1782.03</v>
      </c>
      <c r="W16" s="137">
        <v>5591.57</v>
      </c>
      <c r="X16" s="137">
        <v>151.25</v>
      </c>
      <c r="Y16" s="137">
        <v>1.08</v>
      </c>
      <c r="Z16" s="137" t="s">
        <v>301</v>
      </c>
      <c r="AA16" s="137">
        <v>261.27</v>
      </c>
      <c r="AB16" s="138">
        <v>4074.4</v>
      </c>
      <c r="AC16" s="137">
        <v>803.97</v>
      </c>
      <c r="AD16" s="137">
        <v>4787.2299999999996</v>
      </c>
      <c r="AE16" s="137">
        <v>9760.16</v>
      </c>
      <c r="AF16" s="137">
        <v>21.71</v>
      </c>
      <c r="AG16" s="137">
        <v>158.72</v>
      </c>
      <c r="AH16" s="137" t="s">
        <v>301</v>
      </c>
      <c r="AI16" s="137">
        <v>20.9</v>
      </c>
      <c r="AJ16" s="137">
        <v>353.93</v>
      </c>
      <c r="AK16" s="137">
        <v>3582.35</v>
      </c>
      <c r="AL16" s="137">
        <v>19.11</v>
      </c>
      <c r="AM16" s="137">
        <v>309.55</v>
      </c>
      <c r="AN16" s="137">
        <v>1782.35</v>
      </c>
      <c r="AO16" s="137">
        <v>14.35</v>
      </c>
      <c r="AP16" s="137">
        <v>0</v>
      </c>
      <c r="AQ16" s="137">
        <v>0</v>
      </c>
      <c r="AR16" s="137">
        <v>0</v>
      </c>
      <c r="AS16" s="137">
        <v>2.02</v>
      </c>
      <c r="AT16" s="137">
        <v>446.5</v>
      </c>
      <c r="AU16" s="137">
        <v>136.59</v>
      </c>
      <c r="AV16" s="137">
        <v>11.32</v>
      </c>
      <c r="AW16" s="137">
        <v>462.57</v>
      </c>
      <c r="AX16" s="137">
        <v>2.95</v>
      </c>
      <c r="AY16" s="137">
        <v>51.5</v>
      </c>
      <c r="AZ16" s="137">
        <v>351.56</v>
      </c>
      <c r="BA16" s="137" t="s">
        <v>301</v>
      </c>
      <c r="BB16" s="137" t="s">
        <v>301</v>
      </c>
      <c r="BC16" s="137">
        <v>611.01</v>
      </c>
      <c r="BD16" s="137">
        <v>7226.59</v>
      </c>
      <c r="BE16" s="137">
        <v>1992.29</v>
      </c>
      <c r="BF16" s="137">
        <v>1180.43</v>
      </c>
      <c r="BG16" s="137">
        <v>5766.91</v>
      </c>
      <c r="BH16" s="137">
        <v>218.21</v>
      </c>
      <c r="BI16" s="137">
        <v>539.79999999999995</v>
      </c>
      <c r="BJ16" s="137">
        <v>2280.2800000000002</v>
      </c>
      <c r="BK16" s="137">
        <v>42.07</v>
      </c>
      <c r="BL16" s="137">
        <v>1400.94</v>
      </c>
      <c r="BM16" s="137">
        <v>89559.050000000032</v>
      </c>
      <c r="BN16" s="137" t="s">
        <v>301</v>
      </c>
      <c r="BO16" s="137" t="s">
        <v>301</v>
      </c>
      <c r="BP16" s="137">
        <v>486059.59</v>
      </c>
      <c r="BQ16" s="137" t="s">
        <v>301</v>
      </c>
      <c r="BR16" s="137" t="s">
        <v>301</v>
      </c>
      <c r="BS16" s="137" t="s">
        <v>301</v>
      </c>
      <c r="BT16" s="137">
        <v>4788.99</v>
      </c>
      <c r="BU16" s="137">
        <v>2478.5</v>
      </c>
      <c r="BV16" s="137" t="s">
        <v>301</v>
      </c>
      <c r="BW16" s="137">
        <v>23447.24</v>
      </c>
    </row>
    <row r="17" spans="1:75" x14ac:dyDescent="0.2">
      <c r="A17" s="137" t="s">
        <v>307</v>
      </c>
      <c r="B17" s="137">
        <v>578.23</v>
      </c>
      <c r="C17" s="137">
        <v>7.0000000000000007E-2</v>
      </c>
      <c r="D17" s="137">
        <v>59.95</v>
      </c>
      <c r="E17" s="137">
        <v>743</v>
      </c>
      <c r="F17" s="138">
        <v>1046.48</v>
      </c>
      <c r="G17" s="137">
        <v>77.52</v>
      </c>
      <c r="H17" s="139">
        <v>31869.360000000001</v>
      </c>
      <c r="I17" s="137">
        <v>7412.33</v>
      </c>
      <c r="J17" s="137">
        <v>3.69</v>
      </c>
      <c r="K17" s="137">
        <v>0</v>
      </c>
      <c r="L17" s="137">
        <v>387.49</v>
      </c>
      <c r="M17" s="137">
        <v>11.94</v>
      </c>
      <c r="N17" s="137">
        <v>1908.75</v>
      </c>
      <c r="O17" s="137">
        <v>342.65</v>
      </c>
      <c r="P17" s="137">
        <v>876.82</v>
      </c>
      <c r="Q17" s="137">
        <v>1205.42</v>
      </c>
      <c r="R17" s="137">
        <v>59.25</v>
      </c>
      <c r="S17" s="137">
        <v>666.07</v>
      </c>
      <c r="T17" s="137">
        <v>1047.19</v>
      </c>
      <c r="U17" s="137">
        <v>3806.63</v>
      </c>
      <c r="V17" s="137">
        <v>270.89</v>
      </c>
      <c r="W17" s="137">
        <v>9950.7900000000009</v>
      </c>
      <c r="X17" s="137">
        <v>6.72</v>
      </c>
      <c r="Y17" s="137">
        <v>0</v>
      </c>
      <c r="Z17" s="137" t="s">
        <v>301</v>
      </c>
      <c r="AA17" s="137">
        <v>28.34</v>
      </c>
      <c r="AB17" s="138">
        <v>62405.52</v>
      </c>
      <c r="AC17" s="137">
        <v>453.01</v>
      </c>
      <c r="AD17" s="137">
        <v>5767.65</v>
      </c>
      <c r="AE17" s="137">
        <v>2874.42</v>
      </c>
      <c r="AF17" s="137">
        <v>3207.04</v>
      </c>
      <c r="AG17" s="137" t="s">
        <v>301</v>
      </c>
      <c r="AH17" s="137" t="s">
        <v>301</v>
      </c>
      <c r="AI17" s="137">
        <v>404</v>
      </c>
      <c r="AJ17" s="137">
        <v>99.28</v>
      </c>
      <c r="AK17" s="137">
        <v>2460.1999999999998</v>
      </c>
      <c r="AL17" s="137">
        <v>76.94</v>
      </c>
      <c r="AM17" s="137">
        <v>154.07</v>
      </c>
      <c r="AN17" s="137">
        <v>1268.79</v>
      </c>
      <c r="AO17" s="137">
        <v>1827.44</v>
      </c>
      <c r="AP17" s="137">
        <v>184.36</v>
      </c>
      <c r="AQ17" s="137" t="s">
        <v>301</v>
      </c>
      <c r="AR17" s="137">
        <v>10.44</v>
      </c>
      <c r="AS17" s="137">
        <v>71.8</v>
      </c>
      <c r="AT17" s="137">
        <v>8617.2900000000009</v>
      </c>
      <c r="AU17" s="137">
        <v>53.83</v>
      </c>
      <c r="AV17" s="137">
        <v>328.07</v>
      </c>
      <c r="AW17" s="137">
        <v>265.2</v>
      </c>
      <c r="AX17" s="137">
        <v>31.03</v>
      </c>
      <c r="AY17" s="137">
        <v>257.52</v>
      </c>
      <c r="AZ17" s="137">
        <v>470.96</v>
      </c>
      <c r="BA17" s="137">
        <v>11.56</v>
      </c>
      <c r="BB17" s="137">
        <v>3.24</v>
      </c>
      <c r="BC17" s="137">
        <v>866.54</v>
      </c>
      <c r="BD17" s="137">
        <v>1174.56</v>
      </c>
      <c r="BE17" s="137">
        <v>3709.16</v>
      </c>
      <c r="BF17" s="137">
        <v>776.23</v>
      </c>
      <c r="BG17" s="137">
        <v>876.21</v>
      </c>
      <c r="BH17" s="137">
        <v>26.5</v>
      </c>
      <c r="BI17" s="137">
        <v>177.19</v>
      </c>
      <c r="BJ17" s="137">
        <v>702.06</v>
      </c>
      <c r="BK17" s="137">
        <v>12.44</v>
      </c>
      <c r="BL17" s="137">
        <v>16.03</v>
      </c>
      <c r="BM17" s="137">
        <v>162000.16</v>
      </c>
      <c r="BN17" s="137" t="s">
        <v>301</v>
      </c>
      <c r="BO17" s="137" t="s">
        <v>301</v>
      </c>
      <c r="BP17" s="137">
        <v>7950.44</v>
      </c>
      <c r="BQ17" s="137" t="s">
        <v>301</v>
      </c>
      <c r="BR17" s="137" t="s">
        <v>301</v>
      </c>
      <c r="BS17" s="137" t="s">
        <v>301</v>
      </c>
      <c r="BT17" s="137">
        <v>11784.04</v>
      </c>
      <c r="BU17" s="137">
        <v>1597.94</v>
      </c>
      <c r="BV17" s="137" t="s">
        <v>301</v>
      </c>
      <c r="BW17" s="137">
        <v>7295.46</v>
      </c>
    </row>
    <row r="18" spans="1:75" x14ac:dyDescent="0.2">
      <c r="A18" s="137" t="s">
        <v>308</v>
      </c>
      <c r="B18" s="137">
        <v>465.36</v>
      </c>
      <c r="C18" s="137">
        <v>0.37</v>
      </c>
      <c r="D18" s="137" t="s">
        <v>301</v>
      </c>
      <c r="E18" s="137">
        <v>524.41999999999996</v>
      </c>
      <c r="F18" s="138">
        <v>36427.46</v>
      </c>
      <c r="G18" s="137">
        <v>617.91999999999996</v>
      </c>
      <c r="H18" s="137">
        <v>719.23</v>
      </c>
      <c r="I18" s="139">
        <v>44007.22</v>
      </c>
      <c r="J18" s="137">
        <v>8604.2199999999993</v>
      </c>
      <c r="K18" s="137">
        <v>240.54</v>
      </c>
      <c r="L18" s="137">
        <v>7737.92</v>
      </c>
      <c r="M18" s="137">
        <v>625.86</v>
      </c>
      <c r="N18" s="137">
        <v>4986.99</v>
      </c>
      <c r="O18" s="137">
        <v>1960.26</v>
      </c>
      <c r="P18" s="137">
        <v>1839.03</v>
      </c>
      <c r="Q18" s="137">
        <v>2711.04</v>
      </c>
      <c r="R18" s="137">
        <v>337.23</v>
      </c>
      <c r="S18" s="137">
        <v>1087.4000000000001</v>
      </c>
      <c r="T18" s="137">
        <v>2457.04</v>
      </c>
      <c r="U18" s="137">
        <v>3179.44</v>
      </c>
      <c r="V18" s="137">
        <v>846.19</v>
      </c>
      <c r="W18" s="137">
        <v>3099.15</v>
      </c>
      <c r="X18" s="137">
        <v>82.4</v>
      </c>
      <c r="Y18" s="137">
        <v>98.89</v>
      </c>
      <c r="Z18" s="137">
        <v>0.56000000000000005</v>
      </c>
      <c r="AA18" s="137">
        <v>424.68</v>
      </c>
      <c r="AB18" s="138">
        <v>4459.78</v>
      </c>
      <c r="AC18" s="137">
        <v>705.7</v>
      </c>
      <c r="AD18" s="137">
        <v>8129.58</v>
      </c>
      <c r="AE18" s="137">
        <v>5825.27</v>
      </c>
      <c r="AF18" s="137">
        <v>2363.02</v>
      </c>
      <c r="AG18" s="137">
        <v>62.5</v>
      </c>
      <c r="AH18" s="137">
        <v>37.229999999999997</v>
      </c>
      <c r="AI18" s="137">
        <v>3084.13</v>
      </c>
      <c r="AJ18" s="137">
        <v>1305.58</v>
      </c>
      <c r="AK18" s="137">
        <v>8124.85</v>
      </c>
      <c r="AL18" s="137">
        <v>2139.5300000000002</v>
      </c>
      <c r="AM18" s="137">
        <v>198.97</v>
      </c>
      <c r="AN18" s="137">
        <v>925.53</v>
      </c>
      <c r="AO18" s="137">
        <v>1051.93</v>
      </c>
      <c r="AP18" s="137">
        <v>3066.35</v>
      </c>
      <c r="AQ18" s="137">
        <v>46.72</v>
      </c>
      <c r="AR18" s="137">
        <v>166</v>
      </c>
      <c r="AS18" s="137">
        <v>1.77</v>
      </c>
      <c r="AT18" s="137">
        <v>2066.67</v>
      </c>
      <c r="AU18" s="137">
        <v>3127.54</v>
      </c>
      <c r="AV18" s="137">
        <v>495.81</v>
      </c>
      <c r="AW18" s="137">
        <v>325.02</v>
      </c>
      <c r="AX18" s="137">
        <v>1307.73</v>
      </c>
      <c r="AY18" s="137">
        <v>1568.29</v>
      </c>
      <c r="AZ18" s="137">
        <v>1209.1199999999999</v>
      </c>
      <c r="BA18" s="137">
        <v>855.2</v>
      </c>
      <c r="BB18" s="137">
        <v>59.58</v>
      </c>
      <c r="BC18" s="137">
        <v>4255.76</v>
      </c>
      <c r="BD18" s="137">
        <v>8494.2199999999993</v>
      </c>
      <c r="BE18" s="137">
        <v>8015.39</v>
      </c>
      <c r="BF18" s="137">
        <v>4375.25</v>
      </c>
      <c r="BG18" s="137">
        <v>2418.79</v>
      </c>
      <c r="BH18" s="137">
        <v>227.41</v>
      </c>
      <c r="BI18" s="137">
        <v>221.94</v>
      </c>
      <c r="BJ18" s="137">
        <v>1521.02</v>
      </c>
      <c r="BK18" s="137">
        <v>42.16</v>
      </c>
      <c r="BL18" s="137">
        <v>251.73</v>
      </c>
      <c r="BM18" s="137">
        <v>205613.88999999998</v>
      </c>
      <c r="BN18" s="137" t="s">
        <v>301</v>
      </c>
      <c r="BO18" s="137" t="s">
        <v>301</v>
      </c>
      <c r="BP18" s="137">
        <v>40509.78</v>
      </c>
      <c r="BQ18" s="137" t="s">
        <v>301</v>
      </c>
      <c r="BR18" s="137" t="s">
        <v>301</v>
      </c>
      <c r="BS18" s="137" t="s">
        <v>301</v>
      </c>
      <c r="BT18" s="137" t="s">
        <v>301</v>
      </c>
      <c r="BU18" s="137">
        <v>1074.9100000000001</v>
      </c>
      <c r="BV18" s="137" t="s">
        <v>301</v>
      </c>
      <c r="BW18" s="137">
        <v>26686.880000000001</v>
      </c>
    </row>
    <row r="19" spans="1:75" x14ac:dyDescent="0.2">
      <c r="A19" s="137" t="s">
        <v>309</v>
      </c>
      <c r="B19" s="137">
        <v>15.24</v>
      </c>
      <c r="C19" s="137">
        <v>0</v>
      </c>
      <c r="D19" s="137" t="s">
        <v>301</v>
      </c>
      <c r="E19" s="137">
        <v>9.19</v>
      </c>
      <c r="F19" s="138">
        <v>111.16</v>
      </c>
      <c r="G19" s="137">
        <v>4.66</v>
      </c>
      <c r="H19" s="137">
        <v>4.93</v>
      </c>
      <c r="I19" s="137" t="s">
        <v>301</v>
      </c>
      <c r="J19" s="139">
        <v>1707.28</v>
      </c>
      <c r="K19" s="137">
        <v>0</v>
      </c>
      <c r="L19" s="137">
        <v>139.94999999999999</v>
      </c>
      <c r="M19" s="137">
        <v>290.75</v>
      </c>
      <c r="N19" s="137" t="s">
        <v>301</v>
      </c>
      <c r="O19" s="137">
        <v>3.35</v>
      </c>
      <c r="P19" s="137" t="s">
        <v>301</v>
      </c>
      <c r="Q19" s="137">
        <v>0.1</v>
      </c>
      <c r="R19" s="137" t="s">
        <v>301</v>
      </c>
      <c r="S19" s="137">
        <v>0.61</v>
      </c>
      <c r="T19" s="137">
        <v>4.1500000000000004</v>
      </c>
      <c r="U19" s="137">
        <v>3.94</v>
      </c>
      <c r="V19" s="137" t="s">
        <v>301</v>
      </c>
      <c r="W19" s="137" t="s">
        <v>301</v>
      </c>
      <c r="X19" s="137">
        <v>15.32</v>
      </c>
      <c r="Y19" s="137">
        <v>3.68</v>
      </c>
      <c r="Z19" s="137" t="s">
        <v>301</v>
      </c>
      <c r="AA19" s="137">
        <v>16.649999999999999</v>
      </c>
      <c r="AB19" s="138">
        <v>64</v>
      </c>
      <c r="AC19" s="137">
        <v>1275.8800000000001</v>
      </c>
      <c r="AD19" s="137">
        <v>9777.64</v>
      </c>
      <c r="AE19" s="137">
        <v>6213.44</v>
      </c>
      <c r="AF19" s="137">
        <v>636.86</v>
      </c>
      <c r="AG19" s="137">
        <v>1.08</v>
      </c>
      <c r="AH19" s="137">
        <v>9.73</v>
      </c>
      <c r="AI19" s="137">
        <v>255.69</v>
      </c>
      <c r="AJ19" s="137">
        <v>43.68</v>
      </c>
      <c r="AK19" s="137">
        <v>1622.65</v>
      </c>
      <c r="AL19" s="137">
        <v>7326.8</v>
      </c>
      <c r="AM19" s="137">
        <v>1152.53</v>
      </c>
      <c r="AN19" s="137">
        <v>360.06</v>
      </c>
      <c r="AO19" s="137">
        <v>6685.95</v>
      </c>
      <c r="AP19" s="137">
        <v>2475.4499999999998</v>
      </c>
      <c r="AQ19" s="137">
        <v>2315.39</v>
      </c>
      <c r="AR19" s="137">
        <v>509.62</v>
      </c>
      <c r="AS19" s="137" t="s">
        <v>301</v>
      </c>
      <c r="AT19" s="137">
        <v>208.25</v>
      </c>
      <c r="AU19" s="137">
        <v>3454.37</v>
      </c>
      <c r="AV19" s="137">
        <v>659.27</v>
      </c>
      <c r="AW19" s="137">
        <v>167.34</v>
      </c>
      <c r="AX19" s="137">
        <v>3855.57</v>
      </c>
      <c r="AY19" s="137">
        <v>862.42</v>
      </c>
      <c r="AZ19" s="137">
        <v>281.61</v>
      </c>
      <c r="BA19" s="137">
        <v>382.98</v>
      </c>
      <c r="BB19" s="137">
        <v>527.49</v>
      </c>
      <c r="BC19" s="137">
        <v>2723.12</v>
      </c>
      <c r="BD19" s="137">
        <v>5406.93</v>
      </c>
      <c r="BE19" s="137">
        <v>8591.43</v>
      </c>
      <c r="BF19" s="137">
        <v>4396.92</v>
      </c>
      <c r="BG19" s="137">
        <v>1682.64</v>
      </c>
      <c r="BH19" s="137">
        <v>815.67</v>
      </c>
      <c r="BI19" s="137">
        <v>230.13</v>
      </c>
      <c r="BJ19" s="137">
        <v>1674.31</v>
      </c>
      <c r="BK19" s="137">
        <v>2.91</v>
      </c>
      <c r="BL19" s="137">
        <v>755.83</v>
      </c>
      <c r="BM19" s="137">
        <v>79736.600000000006</v>
      </c>
      <c r="BN19" s="137" t="s">
        <v>301</v>
      </c>
      <c r="BO19" s="137" t="s">
        <v>301</v>
      </c>
      <c r="BP19" s="137">
        <v>8057.89</v>
      </c>
      <c r="BQ19" s="137" t="s">
        <v>301</v>
      </c>
      <c r="BR19" s="137" t="s">
        <v>301</v>
      </c>
      <c r="BS19" s="137" t="s">
        <v>301</v>
      </c>
      <c r="BT19" s="137" t="s">
        <v>301</v>
      </c>
      <c r="BU19" s="137">
        <v>808.15</v>
      </c>
      <c r="BV19" s="137" t="s">
        <v>301</v>
      </c>
      <c r="BW19" s="137">
        <v>2454.64</v>
      </c>
    </row>
    <row r="20" spans="1:75" x14ac:dyDescent="0.2">
      <c r="A20" s="137" t="s">
        <v>310</v>
      </c>
      <c r="B20" s="137">
        <v>10683.86</v>
      </c>
      <c r="C20" s="137">
        <v>301.64999999999998</v>
      </c>
      <c r="D20" s="137">
        <v>257.02999999999997</v>
      </c>
      <c r="E20" s="137">
        <v>18112.919999999998</v>
      </c>
      <c r="F20" s="138">
        <v>4382.38</v>
      </c>
      <c r="G20" s="137">
        <v>170.5</v>
      </c>
      <c r="H20" s="137">
        <v>1084.7</v>
      </c>
      <c r="I20" s="137">
        <v>1843.42</v>
      </c>
      <c r="J20" s="137">
        <v>1260.0899999999999</v>
      </c>
      <c r="K20" s="139">
        <v>12540.27</v>
      </c>
      <c r="L20" s="137">
        <v>14326.14</v>
      </c>
      <c r="M20" s="137">
        <v>261.24</v>
      </c>
      <c r="N20" s="137">
        <v>1068.6600000000001</v>
      </c>
      <c r="O20" s="137">
        <v>9092.4699999999993</v>
      </c>
      <c r="P20" s="137">
        <v>2155.44</v>
      </c>
      <c r="Q20" s="137">
        <v>1011.31</v>
      </c>
      <c r="R20" s="137">
        <v>105.89</v>
      </c>
      <c r="S20" s="137">
        <v>1953.73</v>
      </c>
      <c r="T20" s="137">
        <v>1307.5899999999999</v>
      </c>
      <c r="U20" s="137">
        <v>517.70000000000005</v>
      </c>
      <c r="V20" s="137">
        <v>280.05</v>
      </c>
      <c r="W20" s="137">
        <v>858.76</v>
      </c>
      <c r="X20" s="137">
        <v>113.46</v>
      </c>
      <c r="Y20" s="137">
        <v>35245.279999999999</v>
      </c>
      <c r="Z20" s="137">
        <v>246.3</v>
      </c>
      <c r="AA20" s="137">
        <v>1522.15</v>
      </c>
      <c r="AB20" s="138">
        <v>43139.3</v>
      </c>
      <c r="AC20" s="137">
        <v>3452.44</v>
      </c>
      <c r="AD20" s="137">
        <v>6988.73</v>
      </c>
      <c r="AE20" s="137">
        <v>3794.12</v>
      </c>
      <c r="AF20" s="137">
        <v>64940.77</v>
      </c>
      <c r="AG20" s="137">
        <v>4961.38</v>
      </c>
      <c r="AH20" s="137">
        <v>26772.25</v>
      </c>
      <c r="AI20" s="137">
        <v>7474.79</v>
      </c>
      <c r="AJ20" s="137">
        <v>16612.439999999999</v>
      </c>
      <c r="AK20" s="137">
        <v>6267.74</v>
      </c>
      <c r="AL20" s="137">
        <v>496.47</v>
      </c>
      <c r="AM20" s="137">
        <v>226.98</v>
      </c>
      <c r="AN20" s="137">
        <v>770.51</v>
      </c>
      <c r="AO20" s="137">
        <v>2071.2600000000002</v>
      </c>
      <c r="AP20" s="137">
        <v>18574.509999999998</v>
      </c>
      <c r="AQ20" s="137">
        <v>824.03</v>
      </c>
      <c r="AR20" s="137">
        <v>29.71</v>
      </c>
      <c r="AS20" s="137">
        <v>6.42</v>
      </c>
      <c r="AT20" s="137">
        <v>9938.36</v>
      </c>
      <c r="AU20" s="137">
        <v>2496.1</v>
      </c>
      <c r="AV20" s="137">
        <v>1450.38</v>
      </c>
      <c r="AW20" s="137">
        <v>715.17</v>
      </c>
      <c r="AX20" s="137">
        <v>90.79</v>
      </c>
      <c r="AY20" s="137">
        <v>182.94</v>
      </c>
      <c r="AZ20" s="137">
        <v>2985.4</v>
      </c>
      <c r="BA20" s="137">
        <v>102.5</v>
      </c>
      <c r="BB20" s="137">
        <v>22.16</v>
      </c>
      <c r="BC20" s="137">
        <v>7486.32</v>
      </c>
      <c r="BD20" s="137">
        <v>104762.66</v>
      </c>
      <c r="BE20" s="137">
        <v>47879.88</v>
      </c>
      <c r="BF20" s="137">
        <v>6562.96</v>
      </c>
      <c r="BG20" s="137">
        <v>1868.1</v>
      </c>
      <c r="BH20" s="137">
        <v>797.24</v>
      </c>
      <c r="BI20" s="137">
        <v>1086.8599999999999</v>
      </c>
      <c r="BJ20" s="137">
        <v>2501.2800000000002</v>
      </c>
      <c r="BK20" s="137">
        <v>34.83</v>
      </c>
      <c r="BL20" s="137">
        <v>478.5</v>
      </c>
      <c r="BM20" s="137">
        <v>519549.2699999999</v>
      </c>
      <c r="BN20" s="137" t="s">
        <v>301</v>
      </c>
      <c r="BO20" s="137" t="s">
        <v>301</v>
      </c>
      <c r="BP20" s="137">
        <v>354322.88</v>
      </c>
      <c r="BQ20" s="137" t="s">
        <v>301</v>
      </c>
      <c r="BR20" s="137" t="s">
        <v>301</v>
      </c>
      <c r="BS20" s="137" t="s">
        <v>301</v>
      </c>
      <c r="BT20" s="137" t="s">
        <v>301</v>
      </c>
      <c r="BU20" s="137">
        <v>-3316.85</v>
      </c>
      <c r="BV20" s="137" t="s">
        <v>301</v>
      </c>
      <c r="BW20" s="137">
        <v>125980.75</v>
      </c>
    </row>
    <row r="21" spans="1:75" x14ac:dyDescent="0.2">
      <c r="A21" s="137" t="s">
        <v>311</v>
      </c>
      <c r="B21" s="137">
        <v>36532.04</v>
      </c>
      <c r="C21" s="137">
        <v>4.5999999999999996</v>
      </c>
      <c r="D21" s="137" t="s">
        <v>301</v>
      </c>
      <c r="E21" s="137">
        <v>14333.32</v>
      </c>
      <c r="F21" s="138">
        <v>9550.3700000000008</v>
      </c>
      <c r="G21" s="137">
        <v>10817.3</v>
      </c>
      <c r="H21" s="137">
        <v>2406.7399999999998</v>
      </c>
      <c r="I21" s="137">
        <v>14769.5</v>
      </c>
      <c r="J21" s="137">
        <v>6631.55</v>
      </c>
      <c r="K21" s="137">
        <v>14869.64</v>
      </c>
      <c r="L21" s="139">
        <v>179444.49</v>
      </c>
      <c r="M21" s="137">
        <v>8357.6200000000008</v>
      </c>
      <c r="N21" s="137">
        <v>78013.47</v>
      </c>
      <c r="O21" s="137">
        <v>6183.44</v>
      </c>
      <c r="P21" s="137">
        <v>1482.98</v>
      </c>
      <c r="Q21" s="137">
        <v>9021.69</v>
      </c>
      <c r="R21" s="137">
        <v>1813.22</v>
      </c>
      <c r="S21" s="137">
        <v>2718.07</v>
      </c>
      <c r="T21" s="137">
        <v>4249.4399999999996</v>
      </c>
      <c r="U21" s="137">
        <v>10119.48</v>
      </c>
      <c r="V21" s="137">
        <v>1966.39</v>
      </c>
      <c r="W21" s="137">
        <v>8015.28</v>
      </c>
      <c r="X21" s="137">
        <v>551.59</v>
      </c>
      <c r="Y21" s="137">
        <v>2714.09</v>
      </c>
      <c r="Z21" s="137">
        <v>296.39999999999998</v>
      </c>
      <c r="AA21" s="137">
        <v>1303.8800000000001</v>
      </c>
      <c r="AB21" s="138">
        <v>19208.990000000002</v>
      </c>
      <c r="AC21" s="137">
        <v>973.54</v>
      </c>
      <c r="AD21" s="137">
        <v>2771.83</v>
      </c>
      <c r="AE21" s="137">
        <v>1134.3599999999999</v>
      </c>
      <c r="AF21" s="137">
        <v>603.23</v>
      </c>
      <c r="AG21" s="137">
        <v>12.71</v>
      </c>
      <c r="AH21" s="137">
        <v>1.34</v>
      </c>
      <c r="AI21" s="137">
        <v>2530.4</v>
      </c>
      <c r="AJ21" s="137">
        <v>154.12</v>
      </c>
      <c r="AK21" s="137">
        <v>1154.27</v>
      </c>
      <c r="AL21" s="137">
        <v>787.99</v>
      </c>
      <c r="AM21" s="137">
        <v>262.18</v>
      </c>
      <c r="AN21" s="137">
        <v>921.24</v>
      </c>
      <c r="AO21" s="137">
        <v>1286.74</v>
      </c>
      <c r="AP21" s="137">
        <v>687.53</v>
      </c>
      <c r="AQ21" s="137">
        <v>21.98</v>
      </c>
      <c r="AR21" s="137">
        <v>33.479999999999997</v>
      </c>
      <c r="AS21" s="137">
        <v>360.98</v>
      </c>
      <c r="AT21" s="137">
        <v>18243.45</v>
      </c>
      <c r="AU21" s="137">
        <v>3587.02</v>
      </c>
      <c r="AV21" s="137">
        <v>5308.64</v>
      </c>
      <c r="AW21" s="137">
        <v>2051.8200000000002</v>
      </c>
      <c r="AX21" s="137">
        <v>925.92</v>
      </c>
      <c r="AY21" s="137">
        <v>1650.02</v>
      </c>
      <c r="AZ21" s="137">
        <v>449.61</v>
      </c>
      <c r="BA21" s="137">
        <v>65.27</v>
      </c>
      <c r="BB21" s="137">
        <v>6.95</v>
      </c>
      <c r="BC21" s="137">
        <v>13027.57</v>
      </c>
      <c r="BD21" s="137">
        <v>37469.15</v>
      </c>
      <c r="BE21" s="137">
        <v>8519.34</v>
      </c>
      <c r="BF21" s="137">
        <v>13733.64</v>
      </c>
      <c r="BG21" s="137">
        <v>1402.01</v>
      </c>
      <c r="BH21" s="137">
        <v>218.27</v>
      </c>
      <c r="BI21" s="137">
        <v>504.88</v>
      </c>
      <c r="BJ21" s="137">
        <v>572.92999999999995</v>
      </c>
      <c r="BK21" s="137">
        <v>54.73</v>
      </c>
      <c r="BL21" s="137">
        <v>6259.89</v>
      </c>
      <c r="BM21" s="137">
        <v>573124.61000000022</v>
      </c>
      <c r="BN21" s="137" t="s">
        <v>301</v>
      </c>
      <c r="BO21" s="137" t="s">
        <v>301</v>
      </c>
      <c r="BP21" s="137">
        <v>166138.65</v>
      </c>
      <c r="BQ21" s="137" t="s">
        <v>301</v>
      </c>
      <c r="BR21" s="137" t="s">
        <v>301</v>
      </c>
      <c r="BS21" s="137" t="s">
        <v>301</v>
      </c>
      <c r="BT21" s="137">
        <v>2658.11</v>
      </c>
      <c r="BU21" s="137">
        <v>2418.06</v>
      </c>
      <c r="BV21" s="137" t="s">
        <v>301</v>
      </c>
      <c r="BW21" s="137">
        <v>146992.65</v>
      </c>
    </row>
    <row r="22" spans="1:75" x14ac:dyDescent="0.2">
      <c r="A22" s="137" t="s">
        <v>312</v>
      </c>
      <c r="B22" s="137">
        <v>2083.9299999999998</v>
      </c>
      <c r="C22" s="137" t="s">
        <v>301</v>
      </c>
      <c r="D22" s="137" t="s">
        <v>301</v>
      </c>
      <c r="E22" s="137" t="s">
        <v>301</v>
      </c>
      <c r="F22" s="138">
        <v>1373.47</v>
      </c>
      <c r="G22" s="137" t="s">
        <v>301</v>
      </c>
      <c r="H22" s="137">
        <v>95.79</v>
      </c>
      <c r="I22" s="137" t="s">
        <v>301</v>
      </c>
      <c r="J22" s="137" t="s">
        <v>301</v>
      </c>
      <c r="K22" s="137" t="s">
        <v>301</v>
      </c>
      <c r="L22" s="137" t="s">
        <v>301</v>
      </c>
      <c r="M22" s="139">
        <v>69560.73</v>
      </c>
      <c r="N22" s="137" t="s">
        <v>301</v>
      </c>
      <c r="O22" s="137" t="s">
        <v>301</v>
      </c>
      <c r="P22" s="137" t="s">
        <v>301</v>
      </c>
      <c r="Q22" s="137" t="s">
        <v>301</v>
      </c>
      <c r="R22" s="137" t="s">
        <v>301</v>
      </c>
      <c r="S22" s="137" t="s">
        <v>301</v>
      </c>
      <c r="T22" s="137" t="s">
        <v>301</v>
      </c>
      <c r="U22" s="137" t="s">
        <v>301</v>
      </c>
      <c r="V22" s="137" t="s">
        <v>301</v>
      </c>
      <c r="W22" s="137" t="s">
        <v>301</v>
      </c>
      <c r="X22" s="137" t="s">
        <v>301</v>
      </c>
      <c r="Y22" s="137" t="s">
        <v>301</v>
      </c>
      <c r="Z22" s="137" t="s">
        <v>301</v>
      </c>
      <c r="AA22" s="137" t="s">
        <v>301</v>
      </c>
      <c r="AB22" s="138">
        <v>413.33</v>
      </c>
      <c r="AC22" s="137" t="s">
        <v>301</v>
      </c>
      <c r="AD22" s="137">
        <v>141.79</v>
      </c>
      <c r="AE22" s="137">
        <v>661.54</v>
      </c>
      <c r="AF22" s="137" t="s">
        <v>301</v>
      </c>
      <c r="AG22" s="137" t="s">
        <v>301</v>
      </c>
      <c r="AH22" s="137" t="s">
        <v>301</v>
      </c>
      <c r="AI22" s="137" t="s">
        <v>301</v>
      </c>
      <c r="AJ22" s="137" t="s">
        <v>301</v>
      </c>
      <c r="AK22" s="137">
        <v>0</v>
      </c>
      <c r="AL22" s="137" t="s">
        <v>301</v>
      </c>
      <c r="AM22" s="137" t="s">
        <v>301</v>
      </c>
      <c r="AN22" s="137" t="s">
        <v>301</v>
      </c>
      <c r="AO22" s="137">
        <v>0.4</v>
      </c>
      <c r="AP22" s="137" t="s">
        <v>301</v>
      </c>
      <c r="AQ22" s="137" t="s">
        <v>301</v>
      </c>
      <c r="AR22" s="137" t="s">
        <v>301</v>
      </c>
      <c r="AS22" s="137" t="s">
        <v>301</v>
      </c>
      <c r="AT22" s="137" t="s">
        <v>301</v>
      </c>
      <c r="AU22" s="137">
        <v>142.80000000000001</v>
      </c>
      <c r="AV22" s="137">
        <v>552.12</v>
      </c>
      <c r="AW22" s="137">
        <v>4283.6000000000004</v>
      </c>
      <c r="AX22" s="137" t="s">
        <v>301</v>
      </c>
      <c r="AY22" s="137">
        <v>5347.78</v>
      </c>
      <c r="AZ22" s="137" t="s">
        <v>301</v>
      </c>
      <c r="BA22" s="137" t="s">
        <v>301</v>
      </c>
      <c r="BB22" s="137" t="s">
        <v>301</v>
      </c>
      <c r="BC22" s="137" t="s">
        <v>301</v>
      </c>
      <c r="BD22" s="137">
        <v>3171.67</v>
      </c>
      <c r="BE22" s="137">
        <v>13.81</v>
      </c>
      <c r="BF22" s="137">
        <v>45986.65</v>
      </c>
      <c r="BG22" s="137">
        <v>2783.87</v>
      </c>
      <c r="BH22" s="137">
        <v>448.73</v>
      </c>
      <c r="BI22" s="137">
        <v>454.52</v>
      </c>
      <c r="BJ22" s="137" t="s">
        <v>301</v>
      </c>
      <c r="BK22" s="137" t="s">
        <v>301</v>
      </c>
      <c r="BL22" s="137">
        <v>39.020000000000003</v>
      </c>
      <c r="BM22" s="137">
        <v>137555.54999999996</v>
      </c>
      <c r="BN22" s="137" t="s">
        <v>301</v>
      </c>
      <c r="BO22" s="137" t="s">
        <v>301</v>
      </c>
      <c r="BP22" s="137">
        <v>496835.44</v>
      </c>
      <c r="BQ22" s="137" t="s">
        <v>301</v>
      </c>
      <c r="BR22" s="137" t="s">
        <v>301</v>
      </c>
      <c r="BS22" s="137" t="s">
        <v>301</v>
      </c>
      <c r="BT22" s="137" t="s">
        <v>301</v>
      </c>
      <c r="BU22" s="137">
        <v>-788.56</v>
      </c>
      <c r="BV22" s="137" t="s">
        <v>301</v>
      </c>
      <c r="BW22" s="137">
        <v>62276.56</v>
      </c>
    </row>
    <row r="23" spans="1:75" x14ac:dyDescent="0.2">
      <c r="A23" s="137" t="s">
        <v>313</v>
      </c>
      <c r="B23" s="137">
        <v>1965.17</v>
      </c>
      <c r="C23" s="137">
        <v>15.67</v>
      </c>
      <c r="D23" s="137" t="s">
        <v>301</v>
      </c>
      <c r="E23" s="137">
        <v>2740.72</v>
      </c>
      <c r="F23" s="138">
        <v>28067.63</v>
      </c>
      <c r="G23" s="137">
        <v>679.53</v>
      </c>
      <c r="H23" s="137">
        <v>896.42</v>
      </c>
      <c r="I23" s="137">
        <v>3644.06</v>
      </c>
      <c r="J23" s="137">
        <v>930.11</v>
      </c>
      <c r="K23" s="137">
        <v>608.12</v>
      </c>
      <c r="L23" s="137">
        <v>15851.37</v>
      </c>
      <c r="M23" s="137">
        <v>1490.19</v>
      </c>
      <c r="N23" s="139">
        <v>21733.21</v>
      </c>
      <c r="O23" s="137">
        <v>1607.72</v>
      </c>
      <c r="P23" s="137">
        <v>1608.47</v>
      </c>
      <c r="Q23" s="137">
        <v>5189.09</v>
      </c>
      <c r="R23" s="137">
        <v>897.77</v>
      </c>
      <c r="S23" s="137">
        <v>1795.56</v>
      </c>
      <c r="T23" s="137">
        <v>7901.78</v>
      </c>
      <c r="U23" s="137">
        <v>29820.62</v>
      </c>
      <c r="V23" s="137">
        <v>3833.49</v>
      </c>
      <c r="W23" s="137">
        <v>9819.01</v>
      </c>
      <c r="X23" s="137">
        <v>746.14</v>
      </c>
      <c r="Y23" s="137">
        <v>53.82</v>
      </c>
      <c r="Z23" s="137" t="s">
        <v>301</v>
      </c>
      <c r="AA23" s="137">
        <v>433.8</v>
      </c>
      <c r="AB23" s="138">
        <v>50642.86</v>
      </c>
      <c r="AC23" s="137">
        <v>14750.63</v>
      </c>
      <c r="AD23" s="137">
        <v>17044.18</v>
      </c>
      <c r="AE23" s="137">
        <v>10567.23</v>
      </c>
      <c r="AF23" s="137">
        <v>740.01</v>
      </c>
      <c r="AG23" s="137">
        <v>0.09</v>
      </c>
      <c r="AH23" s="137">
        <v>23.95</v>
      </c>
      <c r="AI23" s="137">
        <v>858.51</v>
      </c>
      <c r="AJ23" s="137">
        <v>3411.45</v>
      </c>
      <c r="AK23" s="137">
        <v>9215.58</v>
      </c>
      <c r="AL23" s="137">
        <v>488.27</v>
      </c>
      <c r="AM23" s="137">
        <v>2256.63</v>
      </c>
      <c r="AN23" s="137">
        <v>4547.13</v>
      </c>
      <c r="AO23" s="137">
        <v>1490.33</v>
      </c>
      <c r="AP23" s="137">
        <v>266.83999999999997</v>
      </c>
      <c r="AQ23" s="137">
        <v>3.87</v>
      </c>
      <c r="AR23" s="137">
        <v>239.95</v>
      </c>
      <c r="AS23" s="137">
        <v>56.01</v>
      </c>
      <c r="AT23" s="137">
        <v>1491.84</v>
      </c>
      <c r="AU23" s="137">
        <v>644.36</v>
      </c>
      <c r="AV23" s="137">
        <v>3019.7</v>
      </c>
      <c r="AW23" s="137">
        <v>2801.26</v>
      </c>
      <c r="AX23" s="137">
        <v>623.38</v>
      </c>
      <c r="AY23" s="137">
        <v>538.92999999999995</v>
      </c>
      <c r="AZ23" s="137">
        <v>1980.14</v>
      </c>
      <c r="BA23" s="137">
        <v>87.94</v>
      </c>
      <c r="BB23" s="137">
        <v>24.06</v>
      </c>
      <c r="BC23" s="137">
        <v>2705.09</v>
      </c>
      <c r="BD23" s="137">
        <v>15614.94</v>
      </c>
      <c r="BE23" s="137">
        <v>3076.73</v>
      </c>
      <c r="BF23" s="137">
        <v>15654.67</v>
      </c>
      <c r="BG23" s="137">
        <v>3372.18</v>
      </c>
      <c r="BH23" s="137">
        <v>120.08</v>
      </c>
      <c r="BI23" s="137">
        <v>264.77999999999997</v>
      </c>
      <c r="BJ23" s="137">
        <v>961.91</v>
      </c>
      <c r="BK23" s="137">
        <v>204.71</v>
      </c>
      <c r="BL23" s="137">
        <v>865.79</v>
      </c>
      <c r="BM23" s="137">
        <v>312985.48000000004</v>
      </c>
      <c r="BN23" s="137" t="s">
        <v>301</v>
      </c>
      <c r="BO23" s="137" t="s">
        <v>301</v>
      </c>
      <c r="BP23" s="137">
        <v>69415.77</v>
      </c>
      <c r="BQ23" s="137" t="s">
        <v>301</v>
      </c>
      <c r="BR23" s="137" t="s">
        <v>301</v>
      </c>
      <c r="BS23" s="137" t="s">
        <v>301</v>
      </c>
      <c r="BT23" s="137">
        <v>591.34</v>
      </c>
      <c r="BU23" s="137">
        <v>2473.62</v>
      </c>
      <c r="BV23" s="137" t="s">
        <v>301</v>
      </c>
      <c r="BW23" s="137">
        <v>34929.56</v>
      </c>
    </row>
    <row r="24" spans="1:75" x14ac:dyDescent="0.2">
      <c r="A24" s="137" t="s">
        <v>314</v>
      </c>
      <c r="B24" s="137">
        <v>55.33</v>
      </c>
      <c r="C24" s="137">
        <v>26.99</v>
      </c>
      <c r="D24" s="137">
        <v>0</v>
      </c>
      <c r="E24" s="137">
        <v>3932.74</v>
      </c>
      <c r="F24" s="138">
        <v>6744.04</v>
      </c>
      <c r="G24" s="137">
        <v>303.97000000000003</v>
      </c>
      <c r="H24" s="137">
        <v>982.98</v>
      </c>
      <c r="I24" s="137">
        <v>507.31</v>
      </c>
      <c r="J24" s="137">
        <v>2.65</v>
      </c>
      <c r="K24" s="137">
        <v>36.03</v>
      </c>
      <c r="L24" s="137">
        <v>2108.09</v>
      </c>
      <c r="M24" s="137">
        <v>358.92</v>
      </c>
      <c r="N24" s="137">
        <v>2572.4699999999998</v>
      </c>
      <c r="O24" s="139">
        <v>21259.42</v>
      </c>
      <c r="P24" s="137">
        <v>2927.78</v>
      </c>
      <c r="Q24" s="137">
        <v>1827.74</v>
      </c>
      <c r="R24" s="137">
        <v>333.28</v>
      </c>
      <c r="S24" s="137">
        <v>2077.52</v>
      </c>
      <c r="T24" s="137">
        <v>3004.56</v>
      </c>
      <c r="U24" s="137">
        <v>10671.12</v>
      </c>
      <c r="V24" s="137">
        <v>609.23</v>
      </c>
      <c r="W24" s="137">
        <v>1311.89</v>
      </c>
      <c r="X24" s="137">
        <v>189.78</v>
      </c>
      <c r="Y24" s="137">
        <v>147.22</v>
      </c>
      <c r="Z24" s="137">
        <v>0.85</v>
      </c>
      <c r="AA24" s="137">
        <v>360.24</v>
      </c>
      <c r="AB24" s="138">
        <v>128491.64</v>
      </c>
      <c r="AC24" s="137">
        <v>873.89</v>
      </c>
      <c r="AD24" s="137">
        <v>163.44999999999999</v>
      </c>
      <c r="AE24" s="137">
        <v>2042.89</v>
      </c>
      <c r="AF24" s="137">
        <v>126.44</v>
      </c>
      <c r="AG24" s="137" t="s">
        <v>301</v>
      </c>
      <c r="AH24" s="137">
        <v>0</v>
      </c>
      <c r="AI24" s="137">
        <v>328.74</v>
      </c>
      <c r="AJ24" s="137">
        <v>40.369999999999997</v>
      </c>
      <c r="AK24" s="137">
        <v>3752.2</v>
      </c>
      <c r="AL24" s="137">
        <v>6.78</v>
      </c>
      <c r="AM24" s="137">
        <v>448.11</v>
      </c>
      <c r="AN24" s="137">
        <v>3765.35</v>
      </c>
      <c r="AO24" s="137">
        <v>1679</v>
      </c>
      <c r="AP24" s="137">
        <v>228.07</v>
      </c>
      <c r="AQ24" s="137">
        <v>0</v>
      </c>
      <c r="AR24" s="137">
        <v>9.18</v>
      </c>
      <c r="AS24" s="137">
        <v>82.87</v>
      </c>
      <c r="AT24" s="137">
        <v>207.68</v>
      </c>
      <c r="AU24" s="137">
        <v>131.97999999999999</v>
      </c>
      <c r="AV24" s="137">
        <v>2187.36</v>
      </c>
      <c r="AW24" s="137">
        <v>2186.9899999999998</v>
      </c>
      <c r="AX24" s="137">
        <v>74.14</v>
      </c>
      <c r="AY24" s="137">
        <v>1243.05</v>
      </c>
      <c r="AZ24" s="137">
        <v>572.89</v>
      </c>
      <c r="BA24" s="137">
        <v>4</v>
      </c>
      <c r="BB24" s="137">
        <v>0</v>
      </c>
      <c r="BC24" s="137">
        <v>1629.88</v>
      </c>
      <c r="BD24" s="137">
        <v>9789.32</v>
      </c>
      <c r="BE24" s="137">
        <v>820.17</v>
      </c>
      <c r="BF24" s="137">
        <v>7538.15</v>
      </c>
      <c r="BG24" s="137">
        <v>820.15</v>
      </c>
      <c r="BH24" s="137">
        <v>14.64</v>
      </c>
      <c r="BI24" s="137">
        <v>182.02</v>
      </c>
      <c r="BJ24" s="137">
        <v>494.33</v>
      </c>
      <c r="BK24" s="137">
        <v>24.86</v>
      </c>
      <c r="BL24" s="137">
        <v>1313.02</v>
      </c>
      <c r="BM24" s="137">
        <v>233625.75999999998</v>
      </c>
      <c r="BN24" s="137" t="s">
        <v>301</v>
      </c>
      <c r="BO24" s="137" t="s">
        <v>301</v>
      </c>
      <c r="BP24" s="137">
        <v>20149.66</v>
      </c>
      <c r="BQ24" s="137" t="s">
        <v>301</v>
      </c>
      <c r="BR24" s="137" t="s">
        <v>301</v>
      </c>
      <c r="BS24" s="137" t="s">
        <v>301</v>
      </c>
      <c r="BT24" s="137" t="s">
        <v>301</v>
      </c>
      <c r="BU24" s="137">
        <v>1882.13</v>
      </c>
      <c r="BV24" s="137" t="s">
        <v>301</v>
      </c>
      <c r="BW24" s="137">
        <v>13284.99</v>
      </c>
    </row>
    <row r="25" spans="1:75" x14ac:dyDescent="0.2">
      <c r="A25" s="137" t="s">
        <v>315</v>
      </c>
      <c r="B25" s="137">
        <v>120.66</v>
      </c>
      <c r="C25" s="137" t="s">
        <v>301</v>
      </c>
      <c r="D25" s="137" t="s">
        <v>301</v>
      </c>
      <c r="E25" s="137">
        <v>16816.03</v>
      </c>
      <c r="F25" s="138">
        <v>6728.58</v>
      </c>
      <c r="G25" s="137">
        <v>224.08</v>
      </c>
      <c r="H25" s="137">
        <v>747.89</v>
      </c>
      <c r="I25" s="137">
        <v>1356.58</v>
      </c>
      <c r="J25" s="137">
        <v>34.49</v>
      </c>
      <c r="K25" s="137" t="s">
        <v>301</v>
      </c>
      <c r="L25" s="137">
        <v>1803.01</v>
      </c>
      <c r="M25" s="137" t="s">
        <v>301</v>
      </c>
      <c r="N25" s="137">
        <v>2278.62</v>
      </c>
      <c r="O25" s="137">
        <v>1502.33</v>
      </c>
      <c r="P25" s="139">
        <v>89293.57</v>
      </c>
      <c r="Q25" s="137">
        <v>100742.73</v>
      </c>
      <c r="R25" s="137">
        <v>2855.16</v>
      </c>
      <c r="S25" s="137">
        <v>15337.53</v>
      </c>
      <c r="T25" s="137">
        <v>45041.34</v>
      </c>
      <c r="U25" s="137">
        <v>46110.879999999997</v>
      </c>
      <c r="V25" s="137">
        <v>15398.52</v>
      </c>
      <c r="W25" s="137">
        <v>11134.23</v>
      </c>
      <c r="X25" s="137">
        <v>601.13</v>
      </c>
      <c r="Y25" s="137">
        <v>431.29</v>
      </c>
      <c r="Z25" s="137" t="s">
        <v>301</v>
      </c>
      <c r="AA25" s="137">
        <v>846.19</v>
      </c>
      <c r="AB25" s="138">
        <v>14135.83</v>
      </c>
      <c r="AC25" s="137">
        <v>216.69</v>
      </c>
      <c r="AD25" s="137">
        <v>1352.09</v>
      </c>
      <c r="AE25" s="137">
        <v>839.68</v>
      </c>
      <c r="AF25" s="137">
        <v>1155.95</v>
      </c>
      <c r="AG25" s="137" t="s">
        <v>301</v>
      </c>
      <c r="AH25" s="137">
        <v>1</v>
      </c>
      <c r="AI25" s="137">
        <v>457.67</v>
      </c>
      <c r="AJ25" s="137">
        <v>10.210000000000001</v>
      </c>
      <c r="AK25" s="137">
        <v>277.07</v>
      </c>
      <c r="AL25" s="137">
        <v>43.33</v>
      </c>
      <c r="AM25" s="137">
        <v>4432.7700000000004</v>
      </c>
      <c r="AN25" s="137">
        <v>1198.19</v>
      </c>
      <c r="AO25" s="137">
        <v>747.69</v>
      </c>
      <c r="AP25" s="137" t="s">
        <v>301</v>
      </c>
      <c r="AQ25" s="137" t="s">
        <v>301</v>
      </c>
      <c r="AR25" s="137">
        <v>1.38</v>
      </c>
      <c r="AS25" s="137">
        <v>3.67</v>
      </c>
      <c r="AT25" s="137">
        <v>3733.49</v>
      </c>
      <c r="AU25" s="137">
        <v>87.21</v>
      </c>
      <c r="AV25" s="137">
        <v>1605.95</v>
      </c>
      <c r="AW25" s="137">
        <v>644.13</v>
      </c>
      <c r="AX25" s="137">
        <v>18.46</v>
      </c>
      <c r="AY25" s="137">
        <v>0.31</v>
      </c>
      <c r="AZ25" s="137">
        <v>129.43</v>
      </c>
      <c r="BA25" s="137" t="s">
        <v>301</v>
      </c>
      <c r="BB25" s="137" t="s">
        <v>301</v>
      </c>
      <c r="BC25" s="137">
        <v>936.54</v>
      </c>
      <c r="BD25" s="137">
        <v>2289.94</v>
      </c>
      <c r="BE25" s="137">
        <v>203.56</v>
      </c>
      <c r="BF25" s="137">
        <v>135.19999999999999</v>
      </c>
      <c r="BG25" s="137">
        <v>391.49</v>
      </c>
      <c r="BH25" s="137">
        <v>61.22</v>
      </c>
      <c r="BI25" s="137">
        <v>302.27</v>
      </c>
      <c r="BJ25" s="137">
        <v>204.52</v>
      </c>
      <c r="BK25" s="137">
        <v>113.58</v>
      </c>
      <c r="BL25" s="137">
        <v>99.96</v>
      </c>
      <c r="BM25" s="137">
        <v>395235.32000000012</v>
      </c>
      <c r="BN25" s="137" t="s">
        <v>301</v>
      </c>
      <c r="BO25" s="137" t="s">
        <v>301</v>
      </c>
      <c r="BP25" s="137">
        <v>1654.41</v>
      </c>
      <c r="BQ25" s="137" t="s">
        <v>301</v>
      </c>
      <c r="BR25" s="137" t="s">
        <v>301</v>
      </c>
      <c r="BS25" s="137" t="s">
        <v>301</v>
      </c>
      <c r="BT25" s="137">
        <v>4465.8</v>
      </c>
      <c r="BU25" s="137">
        <v>5917.59</v>
      </c>
      <c r="BV25" s="137" t="s">
        <v>301</v>
      </c>
      <c r="BW25" s="137">
        <v>53430.35</v>
      </c>
    </row>
    <row r="26" spans="1:75" x14ac:dyDescent="0.2">
      <c r="A26" s="137" t="s">
        <v>316</v>
      </c>
      <c r="B26" s="137">
        <v>2480.04</v>
      </c>
      <c r="C26" s="137">
        <v>23.75</v>
      </c>
      <c r="D26" s="137">
        <v>32.549999999999997</v>
      </c>
      <c r="E26" s="137">
        <v>5566.54</v>
      </c>
      <c r="F26" s="138">
        <v>17168.189999999999</v>
      </c>
      <c r="G26" s="137">
        <v>918.74</v>
      </c>
      <c r="H26" s="137">
        <v>3091.8</v>
      </c>
      <c r="I26" s="137">
        <v>5503.17</v>
      </c>
      <c r="J26" s="137">
        <v>1692.58</v>
      </c>
      <c r="K26" s="137">
        <v>663</v>
      </c>
      <c r="L26" s="137">
        <v>10557.45</v>
      </c>
      <c r="M26" s="137">
        <v>273.52</v>
      </c>
      <c r="N26" s="137">
        <v>7505.76</v>
      </c>
      <c r="O26" s="137">
        <v>3477.55</v>
      </c>
      <c r="P26" s="137">
        <v>8314.5400000000009</v>
      </c>
      <c r="Q26" s="139">
        <v>46587.11</v>
      </c>
      <c r="R26" s="137">
        <v>3369.32</v>
      </c>
      <c r="S26" s="137">
        <v>8247.5400000000009</v>
      </c>
      <c r="T26" s="137">
        <v>23788.639999999999</v>
      </c>
      <c r="U26" s="137">
        <v>82435.44</v>
      </c>
      <c r="V26" s="137">
        <v>12801.16</v>
      </c>
      <c r="W26" s="137">
        <v>8232.58</v>
      </c>
      <c r="X26" s="137">
        <v>1080.1400000000001</v>
      </c>
      <c r="Y26" s="137">
        <v>299.66000000000003</v>
      </c>
      <c r="Z26" s="137">
        <v>0.37</v>
      </c>
      <c r="AA26" s="137">
        <v>2716.57</v>
      </c>
      <c r="AB26" s="138">
        <v>107672.5</v>
      </c>
      <c r="AC26" s="137">
        <v>2129.5</v>
      </c>
      <c r="AD26" s="137">
        <v>4583.95</v>
      </c>
      <c r="AE26" s="137">
        <v>3236.75</v>
      </c>
      <c r="AF26" s="137">
        <v>2953.34</v>
      </c>
      <c r="AG26" s="137">
        <v>2135.12</v>
      </c>
      <c r="AH26" s="137">
        <v>209.61</v>
      </c>
      <c r="AI26" s="137">
        <v>1387.16</v>
      </c>
      <c r="AJ26" s="137">
        <v>1173.45</v>
      </c>
      <c r="AK26" s="137">
        <v>5387.38</v>
      </c>
      <c r="AL26" s="137">
        <v>1195.3699999999999</v>
      </c>
      <c r="AM26" s="137">
        <v>478.48</v>
      </c>
      <c r="AN26" s="137">
        <v>6445.67</v>
      </c>
      <c r="AO26" s="137">
        <v>3649.34</v>
      </c>
      <c r="AP26" s="137">
        <v>678.68</v>
      </c>
      <c r="AQ26" s="137">
        <v>19.899999999999999</v>
      </c>
      <c r="AR26" s="137">
        <v>5.9</v>
      </c>
      <c r="AS26" s="137">
        <v>75.16</v>
      </c>
      <c r="AT26" s="137">
        <v>3507.08</v>
      </c>
      <c r="AU26" s="137">
        <v>1481.8</v>
      </c>
      <c r="AV26" s="137">
        <v>3648.8</v>
      </c>
      <c r="AW26" s="137">
        <v>1976.94</v>
      </c>
      <c r="AX26" s="137">
        <v>188.33</v>
      </c>
      <c r="AY26" s="137">
        <v>293.49</v>
      </c>
      <c r="AZ26" s="137">
        <v>1601.71</v>
      </c>
      <c r="BA26" s="137">
        <v>19.53</v>
      </c>
      <c r="BB26" s="137">
        <v>27.12</v>
      </c>
      <c r="BC26" s="137">
        <v>2948.7</v>
      </c>
      <c r="BD26" s="137">
        <v>14274.34</v>
      </c>
      <c r="BE26" s="137">
        <v>1257.55</v>
      </c>
      <c r="BF26" s="137">
        <v>1726</v>
      </c>
      <c r="BG26" s="137">
        <v>2622.81</v>
      </c>
      <c r="BH26" s="137">
        <v>83.08</v>
      </c>
      <c r="BI26" s="137">
        <v>613.16</v>
      </c>
      <c r="BJ26" s="137">
        <v>1090.82</v>
      </c>
      <c r="BK26" s="137">
        <v>675.91</v>
      </c>
      <c r="BL26" s="137">
        <v>119.34</v>
      </c>
      <c r="BM26" s="137">
        <v>438401.48000000004</v>
      </c>
      <c r="BN26" s="137" t="s">
        <v>301</v>
      </c>
      <c r="BO26" s="137" t="s">
        <v>301</v>
      </c>
      <c r="BP26" s="137">
        <v>40425.18</v>
      </c>
      <c r="BQ26" s="137" t="s">
        <v>301</v>
      </c>
      <c r="BR26" s="137" t="s">
        <v>301</v>
      </c>
      <c r="BS26" s="137" t="s">
        <v>301</v>
      </c>
      <c r="BT26" s="137">
        <v>34966</v>
      </c>
      <c r="BU26" s="137">
        <v>5003.0600000000004</v>
      </c>
      <c r="BV26" s="137" t="s">
        <v>301</v>
      </c>
      <c r="BW26" s="137">
        <v>36900.589999999997</v>
      </c>
    </row>
    <row r="27" spans="1:75" x14ac:dyDescent="0.2">
      <c r="A27" s="137" t="s">
        <v>317</v>
      </c>
      <c r="B27" s="137">
        <v>48.26</v>
      </c>
      <c r="C27" s="137" t="s">
        <v>301</v>
      </c>
      <c r="D27" s="137" t="s">
        <v>301</v>
      </c>
      <c r="E27" s="137">
        <v>414.42</v>
      </c>
      <c r="F27" s="138">
        <v>2943.01</v>
      </c>
      <c r="G27" s="137">
        <v>878.88</v>
      </c>
      <c r="H27" s="137">
        <v>1003.69</v>
      </c>
      <c r="I27" s="137">
        <v>999.78</v>
      </c>
      <c r="J27" s="137">
        <v>2556.73</v>
      </c>
      <c r="K27" s="137">
        <v>272.95999999999998</v>
      </c>
      <c r="L27" s="137">
        <v>7520.23</v>
      </c>
      <c r="M27" s="137">
        <v>61.77</v>
      </c>
      <c r="N27" s="137">
        <v>2857.71</v>
      </c>
      <c r="O27" s="137">
        <v>1637.8</v>
      </c>
      <c r="P27" s="137">
        <v>2617.44</v>
      </c>
      <c r="Q27" s="137">
        <v>6005.47</v>
      </c>
      <c r="R27" s="139">
        <v>24999.89</v>
      </c>
      <c r="S27" s="137">
        <v>5268.34</v>
      </c>
      <c r="T27" s="137">
        <v>9943.61</v>
      </c>
      <c r="U27" s="137">
        <v>23987.200000000001</v>
      </c>
      <c r="V27" s="137">
        <v>22980.02</v>
      </c>
      <c r="W27" s="137">
        <v>3707.09</v>
      </c>
      <c r="X27" s="137">
        <v>340.12</v>
      </c>
      <c r="Y27" s="137">
        <v>196.32</v>
      </c>
      <c r="Z27" s="137">
        <v>2.23</v>
      </c>
      <c r="AA27" s="137">
        <v>890.67</v>
      </c>
      <c r="AB27" s="138">
        <v>7064.52</v>
      </c>
      <c r="AC27" s="137">
        <v>4500.4399999999996</v>
      </c>
      <c r="AD27" s="137">
        <v>14113.83</v>
      </c>
      <c r="AE27" s="137">
        <v>4798.24</v>
      </c>
      <c r="AF27" s="137">
        <v>358.2</v>
      </c>
      <c r="AG27" s="137">
        <v>3.12</v>
      </c>
      <c r="AH27" s="137">
        <v>11.39</v>
      </c>
      <c r="AI27" s="137">
        <v>558.85</v>
      </c>
      <c r="AJ27" s="137">
        <v>1.2</v>
      </c>
      <c r="AK27" s="137">
        <v>550.28</v>
      </c>
      <c r="AL27" s="137">
        <v>4130.51</v>
      </c>
      <c r="AM27" s="137">
        <v>1394.9</v>
      </c>
      <c r="AN27" s="137">
        <v>25977.39</v>
      </c>
      <c r="AO27" s="137">
        <v>15137.49</v>
      </c>
      <c r="AP27" s="137">
        <v>2285.21</v>
      </c>
      <c r="AQ27" s="137">
        <v>858.98</v>
      </c>
      <c r="AR27" s="137">
        <v>17.53</v>
      </c>
      <c r="AS27" s="137">
        <v>294.20999999999998</v>
      </c>
      <c r="AT27" s="137">
        <v>957.75</v>
      </c>
      <c r="AU27" s="137">
        <v>16914.87</v>
      </c>
      <c r="AV27" s="137">
        <v>3138.97</v>
      </c>
      <c r="AW27" s="137">
        <v>1976.8</v>
      </c>
      <c r="AX27" s="137">
        <v>1890.97</v>
      </c>
      <c r="AY27" s="137">
        <v>2119.14</v>
      </c>
      <c r="AZ27" s="137">
        <v>483.97</v>
      </c>
      <c r="BA27" s="137">
        <v>1412.23</v>
      </c>
      <c r="BB27" s="137">
        <v>41.98</v>
      </c>
      <c r="BC27" s="137">
        <v>4134.95</v>
      </c>
      <c r="BD27" s="137">
        <v>38108.57</v>
      </c>
      <c r="BE27" s="137">
        <v>3184.25</v>
      </c>
      <c r="BF27" s="137">
        <v>14620.06</v>
      </c>
      <c r="BG27" s="137">
        <v>806.34</v>
      </c>
      <c r="BH27" s="137">
        <v>183.39</v>
      </c>
      <c r="BI27" s="137">
        <v>96.41</v>
      </c>
      <c r="BJ27" s="137">
        <v>839.63</v>
      </c>
      <c r="BK27" s="137">
        <v>2975</v>
      </c>
      <c r="BL27" s="137">
        <v>157.32</v>
      </c>
      <c r="BM27" s="137">
        <v>298232.53000000003</v>
      </c>
      <c r="BN27" s="137" t="s">
        <v>301</v>
      </c>
      <c r="BO27" s="137" t="s">
        <v>301</v>
      </c>
      <c r="BP27" s="137">
        <v>172328.45</v>
      </c>
      <c r="BQ27" s="137" t="s">
        <v>301</v>
      </c>
      <c r="BR27" s="137" t="s">
        <v>301</v>
      </c>
      <c r="BS27" s="137" t="s">
        <v>301</v>
      </c>
      <c r="BT27" s="137">
        <v>319105.96000000002</v>
      </c>
      <c r="BU27" s="137">
        <v>6205.51</v>
      </c>
      <c r="BV27" s="137" t="s">
        <v>301</v>
      </c>
      <c r="BW27" s="137">
        <v>229401.08</v>
      </c>
    </row>
    <row r="28" spans="1:75" x14ac:dyDescent="0.2">
      <c r="A28" s="137" t="s">
        <v>318</v>
      </c>
      <c r="B28" s="137">
        <v>4183.24</v>
      </c>
      <c r="C28" s="137" t="s">
        <v>301</v>
      </c>
      <c r="D28" s="137">
        <v>0.67</v>
      </c>
      <c r="E28" s="137">
        <v>1147.1500000000001</v>
      </c>
      <c r="F28" s="138">
        <v>1025.9100000000001</v>
      </c>
      <c r="G28" s="137">
        <v>71.63</v>
      </c>
      <c r="H28" s="137">
        <v>3024.59</v>
      </c>
      <c r="I28" s="137">
        <v>447.38</v>
      </c>
      <c r="J28" s="137">
        <v>148.21</v>
      </c>
      <c r="K28" s="137">
        <v>25.97</v>
      </c>
      <c r="L28" s="137">
        <v>1478.46</v>
      </c>
      <c r="M28" s="137">
        <v>33.92</v>
      </c>
      <c r="N28" s="137">
        <v>1452.75</v>
      </c>
      <c r="O28" s="137">
        <v>344.37</v>
      </c>
      <c r="P28" s="137">
        <v>2574.21</v>
      </c>
      <c r="Q28" s="137">
        <v>2853.82</v>
      </c>
      <c r="R28" s="137">
        <v>1415.14</v>
      </c>
      <c r="S28" s="139">
        <v>12009.43</v>
      </c>
      <c r="T28" s="137">
        <v>19268.099999999999</v>
      </c>
      <c r="U28" s="137">
        <v>9311.84</v>
      </c>
      <c r="V28" s="137">
        <v>3068.97</v>
      </c>
      <c r="W28" s="137">
        <v>1352.87</v>
      </c>
      <c r="X28" s="137">
        <v>1256.25</v>
      </c>
      <c r="Y28" s="137">
        <v>34.28</v>
      </c>
      <c r="Z28" s="137">
        <v>5.08</v>
      </c>
      <c r="AA28" s="137">
        <v>1193.67</v>
      </c>
      <c r="AB28" s="138">
        <v>61763.02</v>
      </c>
      <c r="AC28" s="137">
        <v>3044.84</v>
      </c>
      <c r="AD28" s="137">
        <v>310.99</v>
      </c>
      <c r="AE28" s="137">
        <v>1181.6099999999999</v>
      </c>
      <c r="AF28" s="137">
        <v>488.03</v>
      </c>
      <c r="AG28" s="137">
        <v>19.940000000000001</v>
      </c>
      <c r="AH28" s="137">
        <v>1.28</v>
      </c>
      <c r="AI28" s="137">
        <v>298.97000000000003</v>
      </c>
      <c r="AJ28" s="137">
        <v>3.06</v>
      </c>
      <c r="AK28" s="137">
        <v>1753.11</v>
      </c>
      <c r="AL28" s="137">
        <v>3.95</v>
      </c>
      <c r="AM28" s="137">
        <v>9.35</v>
      </c>
      <c r="AN28" s="137">
        <v>7474.65</v>
      </c>
      <c r="AO28" s="137">
        <v>2387.7399999999998</v>
      </c>
      <c r="AP28" s="137">
        <v>311.19</v>
      </c>
      <c r="AQ28" s="137">
        <v>0</v>
      </c>
      <c r="AR28" s="137">
        <v>5.51</v>
      </c>
      <c r="AS28" s="137">
        <v>48.42</v>
      </c>
      <c r="AT28" s="137">
        <v>2346.19</v>
      </c>
      <c r="AU28" s="137">
        <v>536.95000000000005</v>
      </c>
      <c r="AV28" s="137">
        <v>2279.48</v>
      </c>
      <c r="AW28" s="137">
        <v>667.53</v>
      </c>
      <c r="AX28" s="137">
        <v>15.11</v>
      </c>
      <c r="AY28" s="137">
        <v>2832.64</v>
      </c>
      <c r="AZ28" s="137">
        <v>283.98</v>
      </c>
      <c r="BA28" s="137">
        <v>294.62</v>
      </c>
      <c r="BB28" s="137" t="s">
        <v>301</v>
      </c>
      <c r="BC28" s="137">
        <v>2976.21</v>
      </c>
      <c r="BD28" s="137">
        <v>11133.52</v>
      </c>
      <c r="BE28" s="137">
        <v>1813.34</v>
      </c>
      <c r="BF28" s="137">
        <v>823.51</v>
      </c>
      <c r="BG28" s="137">
        <v>1654.66</v>
      </c>
      <c r="BH28" s="137">
        <v>470.49</v>
      </c>
      <c r="BI28" s="137">
        <v>218.27</v>
      </c>
      <c r="BJ28" s="137">
        <v>161.38999999999999</v>
      </c>
      <c r="BK28" s="137">
        <v>1393.68</v>
      </c>
      <c r="BL28" s="137">
        <v>3602.62</v>
      </c>
      <c r="BM28" s="137">
        <v>180337.75999999998</v>
      </c>
      <c r="BN28" s="137" t="s">
        <v>301</v>
      </c>
      <c r="BO28" s="137" t="s">
        <v>301</v>
      </c>
      <c r="BP28" s="137">
        <v>87149.66</v>
      </c>
      <c r="BQ28" s="137" t="s">
        <v>301</v>
      </c>
      <c r="BR28" s="137" t="s">
        <v>301</v>
      </c>
      <c r="BS28" s="137" t="s">
        <v>301</v>
      </c>
      <c r="BT28" s="137">
        <v>53107.98</v>
      </c>
      <c r="BU28" s="137">
        <v>3237.72</v>
      </c>
      <c r="BV28" s="137" t="s">
        <v>301</v>
      </c>
      <c r="BW28" s="137">
        <v>53510.8</v>
      </c>
    </row>
    <row r="29" spans="1:75" x14ac:dyDescent="0.2">
      <c r="A29" s="137" t="s">
        <v>319</v>
      </c>
      <c r="B29" s="137">
        <v>4537.34</v>
      </c>
      <c r="C29" s="137">
        <v>45.22</v>
      </c>
      <c r="D29" s="137" t="s">
        <v>301</v>
      </c>
      <c r="E29" s="137">
        <v>27641.96</v>
      </c>
      <c r="F29" s="138">
        <v>5528.42</v>
      </c>
      <c r="G29" s="137">
        <v>44.9</v>
      </c>
      <c r="H29" s="137">
        <v>716.61</v>
      </c>
      <c r="I29" s="137">
        <v>1025.3699999999999</v>
      </c>
      <c r="J29" s="137">
        <v>2066.69</v>
      </c>
      <c r="K29" s="137">
        <v>21.15</v>
      </c>
      <c r="L29" s="137">
        <v>4403.1400000000003</v>
      </c>
      <c r="M29" s="137">
        <v>8.99</v>
      </c>
      <c r="N29" s="137">
        <v>2562.19</v>
      </c>
      <c r="O29" s="137">
        <v>425.37</v>
      </c>
      <c r="P29" s="137">
        <v>1614.72</v>
      </c>
      <c r="Q29" s="137">
        <v>5176.8599999999997</v>
      </c>
      <c r="R29" s="137">
        <v>517.96</v>
      </c>
      <c r="S29" s="137">
        <v>1617.43</v>
      </c>
      <c r="T29" s="139">
        <v>42033.23</v>
      </c>
      <c r="U29" s="137">
        <v>36521.43</v>
      </c>
      <c r="V29" s="137">
        <v>5936.17</v>
      </c>
      <c r="W29" s="137">
        <v>754.21</v>
      </c>
      <c r="X29" s="137">
        <v>6606.31</v>
      </c>
      <c r="Y29" s="137">
        <v>1942.9</v>
      </c>
      <c r="Z29" s="137" t="s">
        <v>301</v>
      </c>
      <c r="AA29" s="137">
        <v>4869.45</v>
      </c>
      <c r="AB29" s="138">
        <v>61311.17</v>
      </c>
      <c r="AC29" s="137">
        <v>1568</v>
      </c>
      <c r="AD29" s="137">
        <v>3619.46</v>
      </c>
      <c r="AE29" s="137">
        <v>1689.29</v>
      </c>
      <c r="AF29" s="137">
        <v>793.35</v>
      </c>
      <c r="AG29" s="137">
        <v>34.49</v>
      </c>
      <c r="AH29" s="137">
        <v>5.05</v>
      </c>
      <c r="AI29" s="137">
        <v>4821.17</v>
      </c>
      <c r="AJ29" s="137">
        <v>101.09</v>
      </c>
      <c r="AK29" s="137">
        <v>1611.6</v>
      </c>
      <c r="AL29" s="137">
        <v>168.17</v>
      </c>
      <c r="AM29" s="137">
        <v>1382.3</v>
      </c>
      <c r="AN29" s="137">
        <v>3507.07</v>
      </c>
      <c r="AO29" s="137">
        <v>3156.72</v>
      </c>
      <c r="AP29" s="137">
        <v>55.84</v>
      </c>
      <c r="AQ29" s="137">
        <v>964.22</v>
      </c>
      <c r="AR29" s="137">
        <v>0</v>
      </c>
      <c r="AS29" s="137">
        <v>60.23</v>
      </c>
      <c r="AT29" s="137">
        <v>306.2</v>
      </c>
      <c r="AU29" s="137">
        <v>1129.6600000000001</v>
      </c>
      <c r="AV29" s="137">
        <v>1330.78</v>
      </c>
      <c r="AW29" s="137">
        <v>992.09</v>
      </c>
      <c r="AX29" s="137">
        <v>113.38</v>
      </c>
      <c r="AY29" s="137">
        <v>116.75</v>
      </c>
      <c r="AZ29" s="137">
        <v>1063.8800000000001</v>
      </c>
      <c r="BA29" s="137">
        <v>79.459999999999994</v>
      </c>
      <c r="BB29" s="137">
        <v>877.53</v>
      </c>
      <c r="BC29" s="137">
        <v>3052.75</v>
      </c>
      <c r="BD29" s="137">
        <v>7331.43</v>
      </c>
      <c r="BE29" s="137">
        <v>5877.98</v>
      </c>
      <c r="BF29" s="137">
        <v>1320.13</v>
      </c>
      <c r="BG29" s="137">
        <v>451.47</v>
      </c>
      <c r="BH29" s="137">
        <v>49.91</v>
      </c>
      <c r="BI29" s="137">
        <v>211.6</v>
      </c>
      <c r="BJ29" s="137">
        <v>626.94000000000005</v>
      </c>
      <c r="BK29" s="137">
        <v>367.81</v>
      </c>
      <c r="BL29" s="137">
        <v>1169.1099999999999</v>
      </c>
      <c r="BM29" s="137">
        <v>267936.09999999992</v>
      </c>
      <c r="BN29" s="137" t="s">
        <v>301</v>
      </c>
      <c r="BO29" s="137" t="s">
        <v>301</v>
      </c>
      <c r="BP29" s="137">
        <v>26166.58</v>
      </c>
      <c r="BQ29" s="137" t="s">
        <v>301</v>
      </c>
      <c r="BR29" s="137" t="s">
        <v>301</v>
      </c>
      <c r="BS29" s="137" t="s">
        <v>301</v>
      </c>
      <c r="BT29" s="137">
        <v>338289.26</v>
      </c>
      <c r="BU29" s="137">
        <v>7832.24</v>
      </c>
      <c r="BV29" s="137" t="s">
        <v>301</v>
      </c>
      <c r="BW29" s="137">
        <v>147114.56</v>
      </c>
    </row>
    <row r="30" spans="1:75" x14ac:dyDescent="0.2">
      <c r="A30" s="137" t="s">
        <v>320</v>
      </c>
      <c r="B30" s="137">
        <v>1121.6300000000001</v>
      </c>
      <c r="C30" s="137">
        <v>4.9000000000000004</v>
      </c>
      <c r="D30" s="137">
        <v>33.020000000000003</v>
      </c>
      <c r="E30" s="137">
        <v>3203.26</v>
      </c>
      <c r="F30" s="138">
        <v>4223.3500000000004</v>
      </c>
      <c r="G30" s="137">
        <v>112.44</v>
      </c>
      <c r="H30" s="137">
        <v>989.87</v>
      </c>
      <c r="I30" s="137">
        <v>1465.02</v>
      </c>
      <c r="J30" s="137">
        <v>350.69</v>
      </c>
      <c r="K30" s="137">
        <v>67.45</v>
      </c>
      <c r="L30" s="137">
        <v>1970.46</v>
      </c>
      <c r="M30" s="137">
        <v>83.73</v>
      </c>
      <c r="N30" s="137">
        <v>745.11</v>
      </c>
      <c r="O30" s="137">
        <v>1148.24</v>
      </c>
      <c r="P30" s="137">
        <v>1019.77</v>
      </c>
      <c r="Q30" s="137">
        <v>1548.26</v>
      </c>
      <c r="R30" s="137">
        <v>307.44</v>
      </c>
      <c r="S30" s="137">
        <v>420.29</v>
      </c>
      <c r="T30" s="137">
        <v>17800.61</v>
      </c>
      <c r="U30" s="139">
        <v>215015.86</v>
      </c>
      <c r="V30" s="137">
        <v>5387.36</v>
      </c>
      <c r="W30" s="137">
        <v>1060.48</v>
      </c>
      <c r="X30" s="137">
        <v>528.41999999999996</v>
      </c>
      <c r="Y30" s="137">
        <v>81.14</v>
      </c>
      <c r="Z30" s="137">
        <v>0.99</v>
      </c>
      <c r="AA30" s="137">
        <v>1608.58</v>
      </c>
      <c r="AB30" s="138">
        <v>3452.11</v>
      </c>
      <c r="AC30" s="137">
        <v>30405.51</v>
      </c>
      <c r="AD30" s="137">
        <v>8621.08</v>
      </c>
      <c r="AE30" s="137">
        <v>10608.38</v>
      </c>
      <c r="AF30" s="137">
        <v>6468.5</v>
      </c>
      <c r="AG30" s="137">
        <v>45.61</v>
      </c>
      <c r="AH30" s="137">
        <v>6.63</v>
      </c>
      <c r="AI30" s="137">
        <v>4624.22</v>
      </c>
      <c r="AJ30" s="137">
        <v>1557.9</v>
      </c>
      <c r="AK30" s="137">
        <v>1155.55</v>
      </c>
      <c r="AL30" s="137">
        <v>436.44</v>
      </c>
      <c r="AM30" s="137">
        <v>1328.68</v>
      </c>
      <c r="AN30" s="137">
        <v>433.03</v>
      </c>
      <c r="AO30" s="137">
        <v>258.87</v>
      </c>
      <c r="AP30" s="137">
        <v>130.37</v>
      </c>
      <c r="AQ30" s="137">
        <v>0</v>
      </c>
      <c r="AR30" s="137">
        <v>0</v>
      </c>
      <c r="AS30" s="137" t="s">
        <v>301</v>
      </c>
      <c r="AT30" s="137">
        <v>0</v>
      </c>
      <c r="AU30" s="137">
        <v>2167.9499999999998</v>
      </c>
      <c r="AV30" s="137">
        <v>411.78</v>
      </c>
      <c r="AW30" s="137">
        <v>1419.21</v>
      </c>
      <c r="AX30" s="137">
        <v>1287.67</v>
      </c>
      <c r="AY30" s="137">
        <v>214.92</v>
      </c>
      <c r="AZ30" s="137">
        <v>1928.57</v>
      </c>
      <c r="BA30" s="137">
        <v>164.62</v>
      </c>
      <c r="BB30" s="137">
        <v>72.989999999999995</v>
      </c>
      <c r="BC30" s="137">
        <v>9762.06</v>
      </c>
      <c r="BD30" s="137">
        <v>11020.6</v>
      </c>
      <c r="BE30" s="137">
        <v>3154.17</v>
      </c>
      <c r="BF30" s="137">
        <v>1684.42</v>
      </c>
      <c r="BG30" s="137">
        <v>2183.91</v>
      </c>
      <c r="BH30" s="137">
        <v>90.08</v>
      </c>
      <c r="BI30" s="137">
        <v>912.6</v>
      </c>
      <c r="BJ30" s="137">
        <v>966.11</v>
      </c>
      <c r="BK30" s="137">
        <v>0</v>
      </c>
      <c r="BL30" s="137">
        <v>536.6</v>
      </c>
      <c r="BM30" s="137">
        <v>367809.50999999989</v>
      </c>
      <c r="BN30" s="137" t="s">
        <v>301</v>
      </c>
      <c r="BO30" s="137" t="s">
        <v>301</v>
      </c>
      <c r="BP30" s="137">
        <v>346795.14</v>
      </c>
      <c r="BQ30" s="137" t="s">
        <v>301</v>
      </c>
      <c r="BR30" s="137" t="s">
        <v>301</v>
      </c>
      <c r="BS30" s="137" t="s">
        <v>301</v>
      </c>
      <c r="BT30" s="137">
        <v>408419.02</v>
      </c>
      <c r="BU30" s="137">
        <v>17062.72</v>
      </c>
      <c r="BV30" s="137" t="s">
        <v>301</v>
      </c>
      <c r="BW30" s="137">
        <v>129971.78</v>
      </c>
    </row>
    <row r="31" spans="1:75" x14ac:dyDescent="0.2">
      <c r="A31" s="137" t="s">
        <v>321</v>
      </c>
      <c r="B31" s="137" t="s">
        <v>301</v>
      </c>
      <c r="C31" s="137" t="s">
        <v>301</v>
      </c>
      <c r="D31" s="137">
        <v>69.67</v>
      </c>
      <c r="E31" s="137">
        <v>17.100000000000001</v>
      </c>
      <c r="F31" s="138" t="s">
        <v>367</v>
      </c>
      <c r="G31" s="137" t="s">
        <v>301</v>
      </c>
      <c r="H31" s="137">
        <v>15.17</v>
      </c>
      <c r="I31" s="137" t="s">
        <v>301</v>
      </c>
      <c r="J31" s="137" t="s">
        <v>301</v>
      </c>
      <c r="K31" s="137" t="s">
        <v>301</v>
      </c>
      <c r="L31" s="137" t="s">
        <v>301</v>
      </c>
      <c r="M31" s="137" t="s">
        <v>301</v>
      </c>
      <c r="N31" s="137" t="s">
        <v>301</v>
      </c>
      <c r="O31" s="137" t="s">
        <v>301</v>
      </c>
      <c r="P31" s="137" t="s">
        <v>301</v>
      </c>
      <c r="Q31" s="137">
        <v>44.37</v>
      </c>
      <c r="R31" s="137" t="s">
        <v>301</v>
      </c>
      <c r="S31" s="137" t="s">
        <v>301</v>
      </c>
      <c r="T31" s="137">
        <v>4.5999999999999996</v>
      </c>
      <c r="U31" s="137">
        <v>244.73</v>
      </c>
      <c r="V31" s="139">
        <v>75143.289999999994</v>
      </c>
      <c r="W31" s="137" t="s">
        <v>301</v>
      </c>
      <c r="X31" s="137">
        <v>0</v>
      </c>
      <c r="Y31" s="137" t="s">
        <v>301</v>
      </c>
      <c r="Z31" s="137" t="s">
        <v>301</v>
      </c>
      <c r="AA31" s="137">
        <v>48.74</v>
      </c>
      <c r="AB31" s="138">
        <v>40.6</v>
      </c>
      <c r="AC31" s="137">
        <v>127.96</v>
      </c>
      <c r="AD31" s="137">
        <v>7.87</v>
      </c>
      <c r="AE31" s="137" t="s">
        <v>301</v>
      </c>
      <c r="AF31" s="137">
        <v>2224.69</v>
      </c>
      <c r="AG31" s="137">
        <v>2511.2800000000002</v>
      </c>
      <c r="AH31" s="137">
        <v>710.78</v>
      </c>
      <c r="AI31" s="137">
        <v>883.05</v>
      </c>
      <c r="AJ31" s="137">
        <v>1029.23</v>
      </c>
      <c r="AK31" s="137" t="s">
        <v>301</v>
      </c>
      <c r="AL31" s="137" t="s">
        <v>301</v>
      </c>
      <c r="AM31" s="137" t="s">
        <v>301</v>
      </c>
      <c r="AN31" s="137">
        <v>11.2</v>
      </c>
      <c r="AO31" s="137" t="s">
        <v>301</v>
      </c>
      <c r="AP31" s="137" t="s">
        <v>301</v>
      </c>
      <c r="AQ31" s="137">
        <v>0</v>
      </c>
      <c r="AR31" s="137">
        <v>0</v>
      </c>
      <c r="AS31" s="137" t="s">
        <v>301</v>
      </c>
      <c r="AT31" s="137" t="s">
        <v>301</v>
      </c>
      <c r="AU31" s="137">
        <v>15.87</v>
      </c>
      <c r="AV31" s="137">
        <v>86.51</v>
      </c>
      <c r="AW31" s="137">
        <v>567.97</v>
      </c>
      <c r="AX31" s="137" t="s">
        <v>301</v>
      </c>
      <c r="AY31" s="137" t="s">
        <v>301</v>
      </c>
      <c r="AZ31" s="137">
        <v>0</v>
      </c>
      <c r="BA31" s="137" t="s">
        <v>301</v>
      </c>
      <c r="BB31" s="137" t="s">
        <v>301</v>
      </c>
      <c r="BC31" s="137">
        <v>76.27</v>
      </c>
      <c r="BD31" s="137">
        <v>47159.98</v>
      </c>
      <c r="BE31" s="137">
        <v>0</v>
      </c>
      <c r="BF31" s="137" t="s">
        <v>301</v>
      </c>
      <c r="BG31" s="137">
        <v>0.26</v>
      </c>
      <c r="BH31" s="137" t="s">
        <v>301</v>
      </c>
      <c r="BI31" s="137">
        <v>2.65</v>
      </c>
      <c r="BJ31" s="137" t="s">
        <v>301</v>
      </c>
      <c r="BK31" s="137">
        <v>695.31</v>
      </c>
      <c r="BL31" s="137" t="s">
        <v>301</v>
      </c>
      <c r="BM31" s="137">
        <v>131739.15</v>
      </c>
      <c r="BN31" s="137" t="s">
        <v>301</v>
      </c>
      <c r="BO31" s="137" t="s">
        <v>301</v>
      </c>
      <c r="BP31" s="137">
        <v>33890.239999999998</v>
      </c>
      <c r="BQ31" s="137" t="s">
        <v>301</v>
      </c>
      <c r="BR31" s="137" t="s">
        <v>301</v>
      </c>
      <c r="BS31" s="137" t="s">
        <v>301</v>
      </c>
      <c r="BT31" s="137">
        <v>116528.68</v>
      </c>
      <c r="BU31" s="137">
        <v>-2678.92</v>
      </c>
      <c r="BV31" s="137" t="s">
        <v>301</v>
      </c>
      <c r="BW31" s="137">
        <v>144653.72</v>
      </c>
    </row>
    <row r="32" spans="1:75" x14ac:dyDescent="0.2">
      <c r="A32" s="137" t="s">
        <v>322</v>
      </c>
      <c r="B32" s="137">
        <v>169.92</v>
      </c>
      <c r="C32" s="137" t="s">
        <v>301</v>
      </c>
      <c r="D32" s="137" t="s">
        <v>301</v>
      </c>
      <c r="E32" s="137">
        <v>141.63999999999999</v>
      </c>
      <c r="F32" s="138">
        <v>8.35</v>
      </c>
      <c r="G32" s="137">
        <v>172.51</v>
      </c>
      <c r="H32" s="137">
        <v>353.27</v>
      </c>
      <c r="I32" s="137">
        <v>1.29</v>
      </c>
      <c r="J32" s="137">
        <v>8.75</v>
      </c>
      <c r="K32" s="137">
        <v>0</v>
      </c>
      <c r="L32" s="137">
        <v>602.09</v>
      </c>
      <c r="M32" s="137">
        <v>0</v>
      </c>
      <c r="N32" s="137">
        <v>457.18</v>
      </c>
      <c r="O32" s="137">
        <v>160.02000000000001</v>
      </c>
      <c r="P32" s="137">
        <v>59.67</v>
      </c>
      <c r="Q32" s="137">
        <v>43.98</v>
      </c>
      <c r="R32" s="137">
        <v>557.04999999999995</v>
      </c>
      <c r="S32" s="137">
        <v>815.17</v>
      </c>
      <c r="T32" s="137">
        <v>3256.36</v>
      </c>
      <c r="U32" s="137">
        <v>2886</v>
      </c>
      <c r="V32" s="137">
        <v>540.9</v>
      </c>
      <c r="W32" s="139">
        <v>13771.78</v>
      </c>
      <c r="X32" s="137">
        <v>145.49</v>
      </c>
      <c r="Y32" s="137">
        <v>0</v>
      </c>
      <c r="Z32" s="137" t="s">
        <v>301</v>
      </c>
      <c r="AA32" s="137">
        <v>286.45</v>
      </c>
      <c r="AB32" s="138">
        <v>31364.98</v>
      </c>
      <c r="AC32" s="137">
        <v>855.02</v>
      </c>
      <c r="AD32" s="137">
        <v>2220.94</v>
      </c>
      <c r="AE32" s="137">
        <v>4333.0200000000004</v>
      </c>
      <c r="AF32" s="137">
        <v>30.25</v>
      </c>
      <c r="AG32" s="137">
        <v>1.43</v>
      </c>
      <c r="AH32" s="137">
        <v>0.36</v>
      </c>
      <c r="AI32" s="137">
        <v>672.69</v>
      </c>
      <c r="AJ32" s="137">
        <v>139.06</v>
      </c>
      <c r="AK32" s="137">
        <v>1390.74</v>
      </c>
      <c r="AL32" s="137">
        <v>9.44</v>
      </c>
      <c r="AM32" s="137">
        <v>3.53</v>
      </c>
      <c r="AN32" s="137">
        <v>597.91999999999996</v>
      </c>
      <c r="AO32" s="137">
        <v>753.2</v>
      </c>
      <c r="AP32" s="137">
        <v>264.37</v>
      </c>
      <c r="AQ32" s="137">
        <v>0</v>
      </c>
      <c r="AR32" s="137">
        <v>31.87</v>
      </c>
      <c r="AS32" s="137">
        <v>10166.4</v>
      </c>
      <c r="AT32" s="137">
        <v>585.15</v>
      </c>
      <c r="AU32" s="137">
        <v>637.27</v>
      </c>
      <c r="AV32" s="137">
        <v>572.07000000000005</v>
      </c>
      <c r="AW32" s="137">
        <v>339.01</v>
      </c>
      <c r="AX32" s="137">
        <v>484.79</v>
      </c>
      <c r="AY32" s="137">
        <v>1359.1</v>
      </c>
      <c r="AZ32" s="137">
        <v>75.489999999999995</v>
      </c>
      <c r="BA32" s="137">
        <v>24.41</v>
      </c>
      <c r="BB32" s="137">
        <v>0</v>
      </c>
      <c r="BC32" s="137">
        <v>2183.25</v>
      </c>
      <c r="BD32" s="137">
        <v>11474.78</v>
      </c>
      <c r="BE32" s="137">
        <v>1629.46</v>
      </c>
      <c r="BF32" s="137">
        <v>47841.83</v>
      </c>
      <c r="BG32" s="137">
        <v>3826.45</v>
      </c>
      <c r="BH32" s="137">
        <v>456.74</v>
      </c>
      <c r="BI32" s="137">
        <v>1195.42</v>
      </c>
      <c r="BJ32" s="137">
        <v>990.54</v>
      </c>
      <c r="BK32" s="137">
        <v>130.97999999999999</v>
      </c>
      <c r="BL32" s="137">
        <v>1875.44</v>
      </c>
      <c r="BM32" s="137">
        <v>152955.27000000005</v>
      </c>
      <c r="BN32" s="137" t="s">
        <v>301</v>
      </c>
      <c r="BO32" s="137" t="s">
        <v>301</v>
      </c>
      <c r="BP32" s="137">
        <v>401308.83</v>
      </c>
      <c r="BQ32" s="137" t="s">
        <v>301</v>
      </c>
      <c r="BR32" s="137" t="s">
        <v>301</v>
      </c>
      <c r="BS32" s="137" t="s">
        <v>301</v>
      </c>
      <c r="BT32" s="137">
        <v>109821.65</v>
      </c>
      <c r="BU32" s="137">
        <v>7957.59</v>
      </c>
      <c r="BV32" s="137" t="s">
        <v>301</v>
      </c>
      <c r="BW32" s="137">
        <v>90161.600000000006</v>
      </c>
    </row>
    <row r="33" spans="1:77" x14ac:dyDescent="0.2">
      <c r="A33" s="137" t="s">
        <v>323</v>
      </c>
      <c r="B33" s="137">
        <v>26.47</v>
      </c>
      <c r="C33" s="137">
        <v>161.51</v>
      </c>
      <c r="D33" s="137" t="s">
        <v>301</v>
      </c>
      <c r="E33" s="137">
        <v>41.71</v>
      </c>
      <c r="F33" s="138">
        <v>1410.48</v>
      </c>
      <c r="G33" s="137">
        <v>176.47</v>
      </c>
      <c r="H33" s="137">
        <v>346.19</v>
      </c>
      <c r="I33" s="137">
        <v>865.92</v>
      </c>
      <c r="J33" s="137">
        <v>277.2</v>
      </c>
      <c r="K33" s="137">
        <v>837.22</v>
      </c>
      <c r="L33" s="137">
        <v>1628.07</v>
      </c>
      <c r="M33" s="137">
        <v>239.3</v>
      </c>
      <c r="N33" s="137">
        <v>731.18</v>
      </c>
      <c r="O33" s="137">
        <v>574.25</v>
      </c>
      <c r="P33" s="137">
        <v>881.92</v>
      </c>
      <c r="Q33" s="137">
        <v>1233.3800000000001</v>
      </c>
      <c r="R33" s="137">
        <v>201.98</v>
      </c>
      <c r="S33" s="137">
        <v>108.13</v>
      </c>
      <c r="T33" s="137">
        <v>604.74</v>
      </c>
      <c r="U33" s="137">
        <v>589.79999999999995</v>
      </c>
      <c r="V33" s="137">
        <v>245.86</v>
      </c>
      <c r="W33" s="137">
        <v>373.98</v>
      </c>
      <c r="X33" s="139">
        <v>269.26</v>
      </c>
      <c r="Y33" s="137">
        <v>88.4</v>
      </c>
      <c r="Z33" s="137">
        <v>46.56</v>
      </c>
      <c r="AA33" s="137">
        <v>906.17</v>
      </c>
      <c r="AB33" s="138">
        <v>3569.89</v>
      </c>
      <c r="AC33" s="137">
        <v>1890.7</v>
      </c>
      <c r="AD33" s="137">
        <v>10947.04</v>
      </c>
      <c r="AE33" s="137">
        <v>6899.19</v>
      </c>
      <c r="AF33" s="137">
        <v>1703.5</v>
      </c>
      <c r="AG33" s="137">
        <v>36.21</v>
      </c>
      <c r="AH33" s="137">
        <v>36.72</v>
      </c>
      <c r="AI33" s="137">
        <v>715.05</v>
      </c>
      <c r="AJ33" s="137">
        <v>47.17</v>
      </c>
      <c r="AK33" s="137">
        <v>5767.24</v>
      </c>
      <c r="AL33" s="137">
        <v>364.69</v>
      </c>
      <c r="AM33" s="137">
        <v>171.05</v>
      </c>
      <c r="AN33" s="137">
        <v>881</v>
      </c>
      <c r="AO33" s="137">
        <v>1534.04</v>
      </c>
      <c r="AP33" s="137">
        <v>3300.75</v>
      </c>
      <c r="AQ33" s="137">
        <v>2239.89</v>
      </c>
      <c r="AR33" s="137">
        <v>27.91</v>
      </c>
      <c r="AS33" s="137" t="s">
        <v>301</v>
      </c>
      <c r="AT33" s="137">
        <v>514.92999999999995</v>
      </c>
      <c r="AU33" s="137">
        <v>3354.76</v>
      </c>
      <c r="AV33" s="137">
        <v>498.1</v>
      </c>
      <c r="AW33" s="137">
        <v>515.17999999999995</v>
      </c>
      <c r="AX33" s="137">
        <v>244.86</v>
      </c>
      <c r="AY33" s="137">
        <v>330.2</v>
      </c>
      <c r="AZ33" s="137">
        <v>3366.64</v>
      </c>
      <c r="BA33" s="137">
        <v>266.74</v>
      </c>
      <c r="BB33" s="137">
        <v>159.75</v>
      </c>
      <c r="BC33" s="137">
        <v>3109.66</v>
      </c>
      <c r="BD33" s="137">
        <v>3669.99</v>
      </c>
      <c r="BE33" s="137">
        <v>1310.1600000000001</v>
      </c>
      <c r="BF33" s="137">
        <v>7809.57</v>
      </c>
      <c r="BG33" s="137">
        <v>499.37</v>
      </c>
      <c r="BH33" s="137">
        <v>183.09</v>
      </c>
      <c r="BI33" s="137">
        <v>428.01</v>
      </c>
      <c r="BJ33" s="137">
        <v>234.63</v>
      </c>
      <c r="BK33" s="137">
        <v>57.27</v>
      </c>
      <c r="BL33" s="137">
        <v>234.8</v>
      </c>
      <c r="BM33" s="137">
        <v>79785.900000000009</v>
      </c>
      <c r="BN33" s="137" t="s">
        <v>301</v>
      </c>
      <c r="BO33" s="137" t="s">
        <v>301</v>
      </c>
      <c r="BP33" s="137" t="s">
        <v>301</v>
      </c>
      <c r="BQ33" s="137" t="s">
        <v>301</v>
      </c>
      <c r="BR33" s="137" t="s">
        <v>301</v>
      </c>
      <c r="BS33" s="137" t="s">
        <v>301</v>
      </c>
      <c r="BT33" s="137" t="s">
        <v>301</v>
      </c>
      <c r="BU33" s="137" t="s">
        <v>301</v>
      </c>
      <c r="BV33" s="137" t="s">
        <v>301</v>
      </c>
      <c r="BW33" s="137">
        <v>17.260000000000002</v>
      </c>
      <c r="BX33" s="137"/>
      <c r="BY33" s="137"/>
    </row>
    <row r="34" spans="1:77" x14ac:dyDescent="0.2">
      <c r="A34" s="137" t="s">
        <v>324</v>
      </c>
      <c r="B34" s="137">
        <v>2742.97</v>
      </c>
      <c r="C34" s="137">
        <v>35.29</v>
      </c>
      <c r="D34" s="137">
        <v>18.88</v>
      </c>
      <c r="E34" s="137">
        <v>7787.38</v>
      </c>
      <c r="F34" s="138">
        <v>8060.64</v>
      </c>
      <c r="G34" s="137">
        <v>1284.52</v>
      </c>
      <c r="H34" s="137">
        <v>1463.94</v>
      </c>
      <c r="I34" s="137">
        <v>4940.2</v>
      </c>
      <c r="J34" s="137">
        <v>1037.43</v>
      </c>
      <c r="K34" s="137">
        <v>5889.6</v>
      </c>
      <c r="L34" s="137">
        <v>12936.72</v>
      </c>
      <c r="M34" s="137">
        <v>1011.51</v>
      </c>
      <c r="N34" s="137">
        <v>4640.71</v>
      </c>
      <c r="O34" s="137">
        <v>3808.35</v>
      </c>
      <c r="P34" s="137">
        <v>6226.6</v>
      </c>
      <c r="Q34" s="137">
        <v>4306.4799999999996</v>
      </c>
      <c r="R34" s="137">
        <v>688.74</v>
      </c>
      <c r="S34" s="137">
        <v>600.02</v>
      </c>
      <c r="T34" s="137">
        <v>1889.81</v>
      </c>
      <c r="U34" s="137">
        <v>2266.37</v>
      </c>
      <c r="V34" s="137">
        <v>976.67</v>
      </c>
      <c r="W34" s="137">
        <v>1198.81</v>
      </c>
      <c r="X34" s="137">
        <v>165.18</v>
      </c>
      <c r="Y34" s="139">
        <v>21479.360000000001</v>
      </c>
      <c r="Z34" s="137">
        <v>110.17</v>
      </c>
      <c r="AA34" s="137">
        <v>468.75</v>
      </c>
      <c r="AB34" s="138">
        <v>4662.16</v>
      </c>
      <c r="AC34" s="137">
        <v>5825.53</v>
      </c>
      <c r="AD34" s="137">
        <v>16255.76</v>
      </c>
      <c r="AE34" s="137">
        <v>31768.44</v>
      </c>
      <c r="AF34" s="137">
        <v>2936.57</v>
      </c>
      <c r="AG34" s="137">
        <v>110.59</v>
      </c>
      <c r="AH34" s="137">
        <v>105.8</v>
      </c>
      <c r="AI34" s="137">
        <v>12652.85</v>
      </c>
      <c r="AJ34" s="137">
        <v>535.19000000000005</v>
      </c>
      <c r="AK34" s="137">
        <v>27912.73</v>
      </c>
      <c r="AL34" s="137">
        <v>659.91</v>
      </c>
      <c r="AM34" s="137">
        <v>516.61</v>
      </c>
      <c r="AN34" s="137">
        <v>2700.78</v>
      </c>
      <c r="AO34" s="137">
        <v>1888.29</v>
      </c>
      <c r="AP34" s="137">
        <v>3715.8</v>
      </c>
      <c r="AQ34" s="137">
        <v>1547.4</v>
      </c>
      <c r="AR34" s="137">
        <v>153.25</v>
      </c>
      <c r="AS34" s="137">
        <v>5.48</v>
      </c>
      <c r="AT34" s="137">
        <v>105903.79</v>
      </c>
      <c r="AU34" s="137">
        <v>10931.42</v>
      </c>
      <c r="AV34" s="137">
        <v>1105.3</v>
      </c>
      <c r="AW34" s="137">
        <v>1245.52</v>
      </c>
      <c r="AX34" s="137">
        <v>419.61</v>
      </c>
      <c r="AY34" s="137">
        <v>449.66</v>
      </c>
      <c r="AZ34" s="137">
        <v>1584.96</v>
      </c>
      <c r="BA34" s="137">
        <v>235.65</v>
      </c>
      <c r="BB34" s="137">
        <v>176.43</v>
      </c>
      <c r="BC34" s="137">
        <v>2509.9</v>
      </c>
      <c r="BD34" s="137">
        <v>10458.14</v>
      </c>
      <c r="BE34" s="137">
        <v>14299.84</v>
      </c>
      <c r="BF34" s="137">
        <v>12021.9</v>
      </c>
      <c r="BG34" s="137">
        <v>3074.44</v>
      </c>
      <c r="BH34" s="137">
        <v>743.9</v>
      </c>
      <c r="BI34" s="137">
        <v>2378.2399999999998</v>
      </c>
      <c r="BJ34" s="137">
        <v>1606.49</v>
      </c>
      <c r="BK34" s="137">
        <v>68.61</v>
      </c>
      <c r="BL34" s="137">
        <v>1148.17</v>
      </c>
      <c r="BM34" s="137">
        <v>380350.21</v>
      </c>
      <c r="BN34" s="137" t="s">
        <v>301</v>
      </c>
      <c r="BO34" s="137" t="s">
        <v>301</v>
      </c>
      <c r="BP34" s="137">
        <v>244072.3</v>
      </c>
      <c r="BQ34" s="137" t="s">
        <v>301</v>
      </c>
      <c r="BR34" s="137" t="s">
        <v>301</v>
      </c>
      <c r="BS34" s="137" t="s">
        <v>301</v>
      </c>
      <c r="BT34" s="137" t="s">
        <v>301</v>
      </c>
      <c r="BU34" s="137" t="s">
        <v>301</v>
      </c>
      <c r="BV34" s="137" t="s">
        <v>301</v>
      </c>
      <c r="BW34" s="137">
        <v>3607.24</v>
      </c>
      <c r="BX34" s="137"/>
      <c r="BY34" s="137"/>
    </row>
    <row r="35" spans="1:77" x14ac:dyDescent="0.2">
      <c r="A35" s="137" t="s">
        <v>325</v>
      </c>
      <c r="B35" s="137">
        <v>1693.86</v>
      </c>
      <c r="C35" s="137">
        <v>2.5099999999999998</v>
      </c>
      <c r="D35" s="137">
        <v>1.64</v>
      </c>
      <c r="E35" s="137">
        <v>2530.7399999999998</v>
      </c>
      <c r="F35" s="138">
        <v>547.96</v>
      </c>
      <c r="G35" s="137">
        <v>55.62</v>
      </c>
      <c r="H35" s="137">
        <v>36.21</v>
      </c>
      <c r="I35" s="137">
        <v>128.21</v>
      </c>
      <c r="J35" s="137">
        <v>28.63</v>
      </c>
      <c r="K35" s="137">
        <v>222.08</v>
      </c>
      <c r="L35" s="137">
        <v>854.89</v>
      </c>
      <c r="M35" s="137">
        <v>69.5</v>
      </c>
      <c r="N35" s="137">
        <v>111</v>
      </c>
      <c r="O35" s="137">
        <v>102.89</v>
      </c>
      <c r="P35" s="137">
        <v>151.19</v>
      </c>
      <c r="Q35" s="137">
        <v>143.29</v>
      </c>
      <c r="R35" s="137">
        <v>30.2</v>
      </c>
      <c r="S35" s="137">
        <v>25.49</v>
      </c>
      <c r="T35" s="137">
        <v>93.13</v>
      </c>
      <c r="U35" s="137">
        <v>71.680000000000007</v>
      </c>
      <c r="V35" s="137">
        <v>45.27</v>
      </c>
      <c r="W35" s="137">
        <v>57.75</v>
      </c>
      <c r="X35" s="137">
        <v>12.51</v>
      </c>
      <c r="Y35" s="137">
        <v>12520.39</v>
      </c>
      <c r="Z35" s="139">
        <v>116.78</v>
      </c>
      <c r="AA35" s="137">
        <v>106.33</v>
      </c>
      <c r="AB35" s="138">
        <v>754.93</v>
      </c>
      <c r="AC35" s="137">
        <v>396.71</v>
      </c>
      <c r="AD35" s="137">
        <v>674.89</v>
      </c>
      <c r="AE35" s="137">
        <v>940.73</v>
      </c>
      <c r="AF35" s="137">
        <v>198.7</v>
      </c>
      <c r="AG35" s="137">
        <v>4.8899999999999997</v>
      </c>
      <c r="AH35" s="137">
        <v>0.24</v>
      </c>
      <c r="AI35" s="137">
        <v>97.87</v>
      </c>
      <c r="AJ35" s="137">
        <v>87.99</v>
      </c>
      <c r="AK35" s="137">
        <v>1666.18</v>
      </c>
      <c r="AL35" s="137">
        <v>55.59</v>
      </c>
      <c r="AM35" s="137">
        <v>54.68</v>
      </c>
      <c r="AN35" s="137">
        <v>968.15</v>
      </c>
      <c r="AO35" s="137">
        <v>56.65</v>
      </c>
      <c r="AP35" s="137">
        <v>178.74</v>
      </c>
      <c r="AQ35" s="137">
        <v>576.24</v>
      </c>
      <c r="AR35" s="137">
        <v>6.58</v>
      </c>
      <c r="AS35" s="137">
        <v>1.07</v>
      </c>
      <c r="AT35" s="137">
        <v>202.52</v>
      </c>
      <c r="AU35" s="137">
        <v>134.97</v>
      </c>
      <c r="AV35" s="137">
        <v>34.799999999999997</v>
      </c>
      <c r="AW35" s="137">
        <v>72.17</v>
      </c>
      <c r="AX35" s="137">
        <v>17.18</v>
      </c>
      <c r="AY35" s="137">
        <v>37.51</v>
      </c>
      <c r="AZ35" s="137">
        <v>58.02</v>
      </c>
      <c r="BA35" s="137">
        <v>22.63</v>
      </c>
      <c r="BB35" s="137">
        <v>10.029999999999999</v>
      </c>
      <c r="BC35" s="137">
        <v>338.85</v>
      </c>
      <c r="BD35" s="137">
        <v>7322.35</v>
      </c>
      <c r="BE35" s="137">
        <v>3921.5</v>
      </c>
      <c r="BF35" s="137">
        <v>950.98</v>
      </c>
      <c r="BG35" s="137">
        <v>295.3</v>
      </c>
      <c r="BH35" s="137">
        <v>79.739999999999995</v>
      </c>
      <c r="BI35" s="137">
        <v>212.78</v>
      </c>
      <c r="BJ35" s="137">
        <v>421.64</v>
      </c>
      <c r="BK35" s="137">
        <v>11.11</v>
      </c>
      <c r="BL35" s="137">
        <v>216.79</v>
      </c>
      <c r="BM35" s="137">
        <v>40841.450000000012</v>
      </c>
      <c r="BN35" s="137" t="s">
        <v>301</v>
      </c>
      <c r="BO35" s="137" t="s">
        <v>301</v>
      </c>
      <c r="BP35" s="137">
        <v>43858.36</v>
      </c>
      <c r="BQ35" s="137" t="s">
        <v>301</v>
      </c>
      <c r="BR35" s="137" t="s">
        <v>301</v>
      </c>
      <c r="BS35" s="137" t="s">
        <v>301</v>
      </c>
      <c r="BT35" s="137" t="s">
        <v>301</v>
      </c>
      <c r="BU35" s="137" t="s">
        <v>301</v>
      </c>
      <c r="BV35" s="137" t="s">
        <v>301</v>
      </c>
      <c r="BW35" s="137">
        <v>716.66</v>
      </c>
      <c r="BX35" s="137"/>
      <c r="BY35" s="137"/>
    </row>
    <row r="36" spans="1:77" x14ac:dyDescent="0.2">
      <c r="A36" s="137" t="s">
        <v>326</v>
      </c>
      <c r="B36" s="137">
        <v>226.73</v>
      </c>
      <c r="C36" s="137">
        <v>4.8099999999999996</v>
      </c>
      <c r="D36" s="137">
        <v>1.24</v>
      </c>
      <c r="E36" s="137">
        <v>2430.2600000000002</v>
      </c>
      <c r="F36" s="138">
        <v>2129.59</v>
      </c>
      <c r="G36" s="137">
        <v>194.33</v>
      </c>
      <c r="H36" s="137">
        <v>167.36</v>
      </c>
      <c r="I36" s="137">
        <v>496.97</v>
      </c>
      <c r="J36" s="137">
        <v>130.38999999999999</v>
      </c>
      <c r="K36" s="137">
        <v>868.57</v>
      </c>
      <c r="L36" s="137">
        <v>3133.57</v>
      </c>
      <c r="M36" s="137">
        <v>254.22</v>
      </c>
      <c r="N36" s="137">
        <v>487.37</v>
      </c>
      <c r="O36" s="137">
        <v>428.44</v>
      </c>
      <c r="P36" s="137">
        <v>610.37</v>
      </c>
      <c r="Q36" s="137">
        <v>592.21</v>
      </c>
      <c r="R36" s="137">
        <v>106.41</v>
      </c>
      <c r="S36" s="137">
        <v>96.94</v>
      </c>
      <c r="T36" s="137">
        <v>364.93</v>
      </c>
      <c r="U36" s="137">
        <v>303.58999999999997</v>
      </c>
      <c r="V36" s="137">
        <v>176.14</v>
      </c>
      <c r="W36" s="137">
        <v>285.57</v>
      </c>
      <c r="X36" s="137">
        <v>78.39</v>
      </c>
      <c r="Y36" s="137">
        <v>4386.58</v>
      </c>
      <c r="Z36" s="137">
        <v>254.24</v>
      </c>
      <c r="AA36" s="139">
        <v>10220.02</v>
      </c>
      <c r="AB36" s="138">
        <v>3012.15</v>
      </c>
      <c r="AC36" s="137">
        <v>2501.9699999999998</v>
      </c>
      <c r="AD36" s="137">
        <v>3730.45</v>
      </c>
      <c r="AE36" s="137">
        <v>4246.8500000000004</v>
      </c>
      <c r="AF36" s="137">
        <v>1682.02</v>
      </c>
      <c r="AG36" s="137">
        <v>76.14</v>
      </c>
      <c r="AH36" s="137">
        <v>37.090000000000003</v>
      </c>
      <c r="AI36" s="137">
        <v>1752.21</v>
      </c>
      <c r="AJ36" s="137">
        <v>462.05</v>
      </c>
      <c r="AK36" s="137">
        <v>6664.87</v>
      </c>
      <c r="AL36" s="137">
        <v>217.6</v>
      </c>
      <c r="AM36" s="137">
        <v>122.62</v>
      </c>
      <c r="AN36" s="137">
        <v>321.29000000000002</v>
      </c>
      <c r="AO36" s="137">
        <v>419.45</v>
      </c>
      <c r="AP36" s="137">
        <v>1320.17</v>
      </c>
      <c r="AQ36" s="137">
        <v>2981.22</v>
      </c>
      <c r="AR36" s="137">
        <v>23.36</v>
      </c>
      <c r="AS36" s="137">
        <v>15.48</v>
      </c>
      <c r="AT36" s="137">
        <v>13803.15</v>
      </c>
      <c r="AU36" s="137">
        <v>2550.89</v>
      </c>
      <c r="AV36" s="137">
        <v>200.32</v>
      </c>
      <c r="AW36" s="137">
        <v>1157.74</v>
      </c>
      <c r="AX36" s="137">
        <v>226.92</v>
      </c>
      <c r="AY36" s="137">
        <v>481.74</v>
      </c>
      <c r="AZ36" s="137">
        <v>466.48</v>
      </c>
      <c r="BA36" s="137">
        <v>289.36</v>
      </c>
      <c r="BB36" s="137">
        <v>397.92</v>
      </c>
      <c r="BC36" s="137">
        <v>3019.13</v>
      </c>
      <c r="BD36" s="137">
        <v>26385.81</v>
      </c>
      <c r="BE36" s="137">
        <v>4809.84</v>
      </c>
      <c r="BF36" s="137">
        <v>6489.28</v>
      </c>
      <c r="BG36" s="137">
        <v>4608.53</v>
      </c>
      <c r="BH36" s="137">
        <v>470.76</v>
      </c>
      <c r="BI36" s="137">
        <v>908.24</v>
      </c>
      <c r="BJ36" s="137">
        <v>1030.25</v>
      </c>
      <c r="BK36" s="137">
        <v>38.729999999999997</v>
      </c>
      <c r="BL36" s="137">
        <v>1094.5999999999999</v>
      </c>
      <c r="BM36" s="137">
        <v>126445.92000000001</v>
      </c>
      <c r="BN36" s="137" t="s">
        <v>301</v>
      </c>
      <c r="BO36" s="137" t="s">
        <v>301</v>
      </c>
      <c r="BP36" s="137">
        <v>62276.23</v>
      </c>
      <c r="BQ36" s="137" t="s">
        <v>301</v>
      </c>
      <c r="BR36" s="137" t="s">
        <v>301</v>
      </c>
      <c r="BS36" s="137">
        <v>8039.88</v>
      </c>
      <c r="BT36" s="137" t="s">
        <v>301</v>
      </c>
      <c r="BU36" s="137" t="s">
        <v>301</v>
      </c>
      <c r="BV36" s="137" t="s">
        <v>301</v>
      </c>
      <c r="BW36" s="137">
        <v>169.45</v>
      </c>
      <c r="BX36" s="137"/>
      <c r="BY36" s="137"/>
    </row>
    <row r="37" spans="1:77" x14ac:dyDescent="0.2">
      <c r="A37" s="138" t="s">
        <v>173</v>
      </c>
      <c r="B37" s="138">
        <v>1513.01</v>
      </c>
      <c r="C37" s="138">
        <v>6.93</v>
      </c>
      <c r="D37" s="138">
        <v>4.6399999999999997</v>
      </c>
      <c r="E37" s="138">
        <v>4384.0600000000004</v>
      </c>
      <c r="F37" s="138">
        <v>1135.78</v>
      </c>
      <c r="G37" s="138">
        <v>118.96</v>
      </c>
      <c r="H37" s="138">
        <v>185.58</v>
      </c>
      <c r="I37" s="138">
        <v>607.36</v>
      </c>
      <c r="J37" s="138">
        <v>168</v>
      </c>
      <c r="K37" s="138">
        <v>7670.74</v>
      </c>
      <c r="L37" s="138">
        <v>1264.19</v>
      </c>
      <c r="M37" s="138">
        <v>188.74</v>
      </c>
      <c r="N37" s="138">
        <v>460.01</v>
      </c>
      <c r="O37" s="138">
        <v>404.51</v>
      </c>
      <c r="P37" s="138">
        <v>592.33000000000004</v>
      </c>
      <c r="Q37" s="138">
        <v>589.33000000000004</v>
      </c>
      <c r="R37" s="138">
        <v>98.32</v>
      </c>
      <c r="S37" s="138">
        <v>91.94</v>
      </c>
      <c r="T37" s="138">
        <v>388.46</v>
      </c>
      <c r="U37" s="138">
        <v>406.22</v>
      </c>
      <c r="V37" s="138">
        <v>165.98</v>
      </c>
      <c r="W37" s="138">
        <v>180.52</v>
      </c>
      <c r="X37" s="138">
        <v>61.16</v>
      </c>
      <c r="Y37" s="138">
        <v>8902.2900000000009</v>
      </c>
      <c r="Z37" s="138">
        <v>66.86</v>
      </c>
      <c r="AA37" s="138">
        <v>54.12</v>
      </c>
      <c r="AB37" s="138">
        <v>250.23</v>
      </c>
      <c r="AC37" s="138">
        <v>1102.79</v>
      </c>
      <c r="AD37" s="138">
        <v>2019.83</v>
      </c>
      <c r="AE37" s="138">
        <v>3913.81</v>
      </c>
      <c r="AF37" s="138">
        <v>4036.52</v>
      </c>
      <c r="AG37" s="138">
        <v>86.27</v>
      </c>
      <c r="AH37" s="138">
        <v>275.72000000000003</v>
      </c>
      <c r="AI37" s="138">
        <v>2280.12</v>
      </c>
      <c r="AJ37" s="138">
        <v>634.16999999999996</v>
      </c>
      <c r="AK37" s="138">
        <v>2659.64</v>
      </c>
      <c r="AL37" s="138">
        <v>60.94</v>
      </c>
      <c r="AM37" s="138">
        <v>41.29</v>
      </c>
      <c r="AN37" s="138">
        <v>2166.3000000000002</v>
      </c>
      <c r="AO37" s="138">
        <v>189.73</v>
      </c>
      <c r="AP37" s="138">
        <v>5169.8999999999996</v>
      </c>
      <c r="AQ37" s="138">
        <v>467.04</v>
      </c>
      <c r="AR37" s="138">
        <v>220.13</v>
      </c>
      <c r="AS37" s="138">
        <v>67840.179999999993</v>
      </c>
      <c r="AT37" s="138">
        <v>75983.070000000007</v>
      </c>
      <c r="AU37" s="138">
        <v>768.93</v>
      </c>
      <c r="AV37" s="138">
        <v>147.88999999999999</v>
      </c>
      <c r="AW37" s="138">
        <v>185.95</v>
      </c>
      <c r="AX37" s="138">
        <v>270.66000000000003</v>
      </c>
      <c r="AY37" s="138">
        <v>49.9</v>
      </c>
      <c r="AZ37" s="138">
        <v>300.19</v>
      </c>
      <c r="BA37" s="138">
        <v>31.13</v>
      </c>
      <c r="BB37" s="138">
        <v>26.33</v>
      </c>
      <c r="BC37" s="138">
        <v>473.43</v>
      </c>
      <c r="BD37" s="138">
        <v>86032.37</v>
      </c>
      <c r="BE37" s="138">
        <v>9642.35</v>
      </c>
      <c r="BF37" s="138">
        <v>1091.99</v>
      </c>
      <c r="BG37" s="138">
        <v>444.19</v>
      </c>
      <c r="BH37" s="138">
        <v>319.83</v>
      </c>
      <c r="BI37" s="138">
        <v>298.04000000000002</v>
      </c>
      <c r="BJ37" s="138">
        <v>3367.93</v>
      </c>
      <c r="BK37" s="138">
        <v>6.17</v>
      </c>
      <c r="BL37" s="138">
        <v>343.9</v>
      </c>
      <c r="BM37" s="138">
        <v>302908.89999999997</v>
      </c>
      <c r="BN37" s="138" t="s">
        <v>301</v>
      </c>
      <c r="BO37" s="138" t="s">
        <v>301</v>
      </c>
      <c r="BP37" s="139">
        <v>0</v>
      </c>
      <c r="BQ37" s="138" t="s">
        <v>301</v>
      </c>
      <c r="BR37" s="138" t="s">
        <v>301</v>
      </c>
      <c r="BS37" s="138" t="s">
        <v>301</v>
      </c>
      <c r="BT37" s="138">
        <v>1438373.3</v>
      </c>
      <c r="BU37" s="138" t="s">
        <v>301</v>
      </c>
      <c r="BV37" s="138" t="s">
        <v>301</v>
      </c>
      <c r="BW37" s="138">
        <v>102.56</v>
      </c>
      <c r="BX37" s="138"/>
      <c r="BY37" s="138">
        <v>0.17395738611466882</v>
      </c>
    </row>
    <row r="38" spans="1:77" x14ac:dyDescent="0.2">
      <c r="A38" s="137" t="s">
        <v>327</v>
      </c>
      <c r="B38" s="137">
        <v>159.61000000000001</v>
      </c>
      <c r="C38" s="137">
        <v>107.79</v>
      </c>
      <c r="D38" s="137">
        <v>0</v>
      </c>
      <c r="E38" s="137">
        <v>234.14</v>
      </c>
      <c r="F38" s="138">
        <v>957.87</v>
      </c>
      <c r="G38" s="137">
        <v>88.33</v>
      </c>
      <c r="H38" s="137">
        <v>155.22</v>
      </c>
      <c r="I38" s="137">
        <v>517.9</v>
      </c>
      <c r="J38" s="137">
        <v>143.12</v>
      </c>
      <c r="K38" s="137">
        <v>430.12</v>
      </c>
      <c r="L38" s="137">
        <v>1016.01</v>
      </c>
      <c r="M38" s="137">
        <v>161.22</v>
      </c>
      <c r="N38" s="137">
        <v>642.03</v>
      </c>
      <c r="O38" s="137">
        <v>345.46</v>
      </c>
      <c r="P38" s="137">
        <v>503.53</v>
      </c>
      <c r="Q38" s="137">
        <v>513.24</v>
      </c>
      <c r="R38" s="137">
        <v>80.92</v>
      </c>
      <c r="S38" s="137">
        <v>78.25</v>
      </c>
      <c r="T38" s="137">
        <v>330.79</v>
      </c>
      <c r="U38" s="137">
        <v>707.51</v>
      </c>
      <c r="V38" s="137">
        <v>140.9</v>
      </c>
      <c r="W38" s="137">
        <v>147.63999999999999</v>
      </c>
      <c r="X38" s="137">
        <v>187.77</v>
      </c>
      <c r="Y38" s="137">
        <v>66.599999999999994</v>
      </c>
      <c r="Z38" s="137">
        <v>1.02</v>
      </c>
      <c r="AA38" s="137">
        <v>737.1</v>
      </c>
      <c r="AB38" s="138">
        <v>2487.8200000000002</v>
      </c>
      <c r="AC38" s="137">
        <v>1198.43</v>
      </c>
      <c r="AD38" s="137">
        <v>8278.34</v>
      </c>
      <c r="AE38" s="137">
        <v>4688.6400000000003</v>
      </c>
      <c r="AF38" s="137">
        <v>11408.81</v>
      </c>
      <c r="AG38" s="137">
        <v>1.01</v>
      </c>
      <c r="AH38" s="137">
        <v>30.29</v>
      </c>
      <c r="AI38" s="137">
        <v>972.75</v>
      </c>
      <c r="AJ38" s="137">
        <v>183.28</v>
      </c>
      <c r="AK38" s="137">
        <v>4091.92</v>
      </c>
      <c r="AL38" s="137">
        <v>263.08</v>
      </c>
      <c r="AM38" s="137">
        <v>123.42</v>
      </c>
      <c r="AN38" s="137">
        <v>633.25</v>
      </c>
      <c r="AO38" s="137">
        <v>1089.31</v>
      </c>
      <c r="AP38" s="137">
        <v>2359.91</v>
      </c>
      <c r="AQ38" s="137">
        <v>1631.84</v>
      </c>
      <c r="AR38" s="137">
        <v>20.18</v>
      </c>
      <c r="AS38" s="137">
        <v>0</v>
      </c>
      <c r="AT38" s="137">
        <v>2512.94</v>
      </c>
      <c r="AU38" s="137">
        <v>2488.08</v>
      </c>
      <c r="AV38" s="137">
        <v>328.21</v>
      </c>
      <c r="AW38" s="137">
        <v>368.64</v>
      </c>
      <c r="AX38" s="137">
        <v>183.44</v>
      </c>
      <c r="AY38" s="137">
        <v>247.88</v>
      </c>
      <c r="AZ38" s="137">
        <v>2437.52</v>
      </c>
      <c r="BA38" s="137">
        <v>181.45</v>
      </c>
      <c r="BB38" s="137">
        <v>135.51</v>
      </c>
      <c r="BC38" s="137">
        <v>2359.3200000000002</v>
      </c>
      <c r="BD38" s="137">
        <v>1237.79</v>
      </c>
      <c r="BE38" s="137">
        <v>2546.31</v>
      </c>
      <c r="BF38" s="137">
        <v>5603.89</v>
      </c>
      <c r="BG38" s="137">
        <v>352.45</v>
      </c>
      <c r="BH38" s="137">
        <v>80.61</v>
      </c>
      <c r="BI38" s="137">
        <v>253.03</v>
      </c>
      <c r="BJ38" s="137">
        <v>111.47</v>
      </c>
      <c r="BK38" s="137">
        <v>34.06</v>
      </c>
      <c r="BL38" s="137">
        <v>126.4</v>
      </c>
      <c r="BM38" s="137">
        <v>69505.369999999981</v>
      </c>
      <c r="BN38" s="137" t="s">
        <v>301</v>
      </c>
      <c r="BO38" s="137" t="s">
        <v>301</v>
      </c>
      <c r="BP38" s="137">
        <v>173073.61</v>
      </c>
      <c r="BQ38" s="137" t="s">
        <v>301</v>
      </c>
      <c r="BR38" s="137" t="s">
        <v>301</v>
      </c>
      <c r="BS38" s="137" t="s">
        <v>301</v>
      </c>
      <c r="BT38" s="137">
        <v>0</v>
      </c>
      <c r="BU38" s="137">
        <v>0</v>
      </c>
      <c r="BV38" s="137" t="s">
        <v>301</v>
      </c>
      <c r="BW38" s="137">
        <v>50.54</v>
      </c>
      <c r="BX38" s="137"/>
      <c r="BY38" s="137"/>
    </row>
    <row r="39" spans="1:77" x14ac:dyDescent="0.2">
      <c r="A39" s="137" t="s">
        <v>328</v>
      </c>
      <c r="B39" s="137">
        <v>1258.8</v>
      </c>
      <c r="C39" s="137">
        <v>12.32</v>
      </c>
      <c r="D39" s="137">
        <v>4.17</v>
      </c>
      <c r="E39" s="137">
        <v>185.2</v>
      </c>
      <c r="F39" s="138">
        <v>3625.77</v>
      </c>
      <c r="G39" s="137">
        <v>327.41000000000003</v>
      </c>
      <c r="H39" s="137">
        <v>305.02999999999997</v>
      </c>
      <c r="I39" s="137">
        <v>1166.1199999999999</v>
      </c>
      <c r="J39" s="137">
        <v>106.6</v>
      </c>
      <c r="K39" s="137">
        <v>44.25</v>
      </c>
      <c r="L39" s="137">
        <v>3685.7</v>
      </c>
      <c r="M39" s="137">
        <v>1108.6099999999999</v>
      </c>
      <c r="N39" s="137">
        <v>1584.44</v>
      </c>
      <c r="O39" s="137">
        <v>430.27</v>
      </c>
      <c r="P39" s="137">
        <v>1485.32</v>
      </c>
      <c r="Q39" s="137">
        <v>1015</v>
      </c>
      <c r="R39" s="137">
        <v>426.73</v>
      </c>
      <c r="S39" s="137">
        <v>1418.36</v>
      </c>
      <c r="T39" s="137">
        <v>4029.62</v>
      </c>
      <c r="U39" s="137">
        <v>429.72</v>
      </c>
      <c r="V39" s="137">
        <v>61.29</v>
      </c>
      <c r="W39" s="137">
        <v>2373.21</v>
      </c>
      <c r="X39" s="137">
        <v>15.9</v>
      </c>
      <c r="Y39" s="137">
        <v>1201.46</v>
      </c>
      <c r="Z39" s="137">
        <v>0</v>
      </c>
      <c r="AA39" s="137">
        <v>62.91</v>
      </c>
      <c r="AB39" s="138">
        <v>69.98</v>
      </c>
      <c r="AC39" s="137">
        <v>4547.51</v>
      </c>
      <c r="AD39" s="137">
        <v>44656.13</v>
      </c>
      <c r="AE39" s="137">
        <v>15047.55</v>
      </c>
      <c r="AF39" s="137">
        <v>152.35</v>
      </c>
      <c r="AG39" s="137">
        <v>0</v>
      </c>
      <c r="AH39" s="137">
        <v>151.47</v>
      </c>
      <c r="AI39" s="137">
        <v>0</v>
      </c>
      <c r="AJ39" s="137">
        <v>0</v>
      </c>
      <c r="AK39" s="137">
        <v>52.5</v>
      </c>
      <c r="AL39" s="137">
        <v>999.7</v>
      </c>
      <c r="AM39" s="137">
        <v>20.7</v>
      </c>
      <c r="AN39" s="137">
        <v>1306.99</v>
      </c>
      <c r="AO39" s="137">
        <v>111.35</v>
      </c>
      <c r="AP39" s="137">
        <v>45.16</v>
      </c>
      <c r="AQ39" s="137">
        <v>70.8</v>
      </c>
      <c r="AR39" s="137">
        <v>1.56</v>
      </c>
      <c r="AS39" s="137">
        <v>0</v>
      </c>
      <c r="AT39" s="137">
        <v>0</v>
      </c>
      <c r="AU39" s="137">
        <v>0</v>
      </c>
      <c r="AV39" s="137">
        <v>0</v>
      </c>
      <c r="AW39" s="137">
        <v>0</v>
      </c>
      <c r="AX39" s="137">
        <v>0</v>
      </c>
      <c r="AY39" s="137">
        <v>0</v>
      </c>
      <c r="AZ39" s="137">
        <v>6879.58</v>
      </c>
      <c r="BA39" s="137">
        <v>10.11</v>
      </c>
      <c r="BB39" s="137">
        <v>1.19</v>
      </c>
      <c r="BC39" s="137">
        <v>72.36</v>
      </c>
      <c r="BD39" s="137">
        <v>28.37</v>
      </c>
      <c r="BE39" s="137">
        <v>24.09</v>
      </c>
      <c r="BF39" s="137">
        <v>338.14</v>
      </c>
      <c r="BG39" s="137">
        <v>0</v>
      </c>
      <c r="BH39" s="137">
        <v>0</v>
      </c>
      <c r="BI39" s="137">
        <v>104.11</v>
      </c>
      <c r="BJ39" s="137">
        <v>0</v>
      </c>
      <c r="BK39" s="137">
        <v>5.61</v>
      </c>
      <c r="BL39" s="137">
        <v>0.16</v>
      </c>
      <c r="BM39" s="137">
        <v>101061.68000000002</v>
      </c>
      <c r="BN39" s="137" t="s">
        <v>301</v>
      </c>
      <c r="BO39" s="137" t="s">
        <v>301</v>
      </c>
      <c r="BP39" s="137">
        <v>0</v>
      </c>
      <c r="BQ39" s="137" t="s">
        <v>301</v>
      </c>
      <c r="BR39" s="137" t="s">
        <v>301</v>
      </c>
      <c r="BS39" s="137" t="s">
        <v>301</v>
      </c>
      <c r="BT39" s="137">
        <v>0</v>
      </c>
      <c r="BU39" s="137">
        <v>0</v>
      </c>
      <c r="BV39" s="137" t="s">
        <v>301</v>
      </c>
      <c r="BW39" s="137">
        <v>2824.94</v>
      </c>
      <c r="BX39" s="137"/>
      <c r="BY39" s="137"/>
    </row>
    <row r="40" spans="1:77" x14ac:dyDescent="0.2">
      <c r="A40" s="137" t="s">
        <v>329</v>
      </c>
      <c r="B40" s="137">
        <v>0</v>
      </c>
      <c r="C40" s="137">
        <v>0</v>
      </c>
      <c r="D40" s="137">
        <v>0</v>
      </c>
      <c r="E40" s="137">
        <v>0</v>
      </c>
      <c r="F40" s="138">
        <v>0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7">
        <v>0</v>
      </c>
      <c r="U40" s="137">
        <v>0</v>
      </c>
      <c r="V40" s="137">
        <v>0</v>
      </c>
      <c r="W40" s="137">
        <v>0</v>
      </c>
      <c r="X40" s="137">
        <v>0</v>
      </c>
      <c r="Y40" s="137">
        <v>0</v>
      </c>
      <c r="Z40" s="137">
        <v>0</v>
      </c>
      <c r="AA40" s="137">
        <v>0</v>
      </c>
      <c r="AB40" s="138">
        <v>0</v>
      </c>
      <c r="AC40" s="137">
        <v>992.92</v>
      </c>
      <c r="AD40" s="137">
        <v>0</v>
      </c>
      <c r="AE40" s="137">
        <v>1039.8</v>
      </c>
      <c r="AF40" s="137">
        <v>0</v>
      </c>
      <c r="AG40" s="137">
        <v>0</v>
      </c>
      <c r="AH40" s="137">
        <v>0</v>
      </c>
      <c r="AI40" s="137">
        <v>0</v>
      </c>
      <c r="AJ40" s="137">
        <v>0</v>
      </c>
      <c r="AK40" s="137">
        <v>0</v>
      </c>
      <c r="AL40" s="137">
        <v>0</v>
      </c>
      <c r="AM40" s="137">
        <v>0</v>
      </c>
      <c r="AN40" s="137">
        <v>0</v>
      </c>
      <c r="AO40" s="137">
        <v>0</v>
      </c>
      <c r="AP40" s="137">
        <v>0</v>
      </c>
      <c r="AQ40" s="137">
        <v>0</v>
      </c>
      <c r="AR40" s="137">
        <v>0</v>
      </c>
      <c r="AS40" s="137">
        <v>0</v>
      </c>
      <c r="AT40" s="137">
        <v>0</v>
      </c>
      <c r="AU40" s="137">
        <v>0</v>
      </c>
      <c r="AV40" s="137">
        <v>0</v>
      </c>
      <c r="AW40" s="137">
        <v>0</v>
      </c>
      <c r="AX40" s="137">
        <v>0</v>
      </c>
      <c r="AY40" s="137">
        <v>0</v>
      </c>
      <c r="AZ40" s="137">
        <v>0</v>
      </c>
      <c r="BA40" s="137">
        <v>0</v>
      </c>
      <c r="BB40" s="137">
        <v>0</v>
      </c>
      <c r="BC40" s="137">
        <v>0</v>
      </c>
      <c r="BD40" s="137">
        <v>0</v>
      </c>
      <c r="BE40" s="137">
        <v>0</v>
      </c>
      <c r="BF40" s="137">
        <v>0</v>
      </c>
      <c r="BG40" s="137">
        <v>0</v>
      </c>
      <c r="BH40" s="137">
        <v>0</v>
      </c>
      <c r="BI40" s="137">
        <v>0</v>
      </c>
      <c r="BJ40" s="137">
        <v>0</v>
      </c>
      <c r="BK40" s="137">
        <v>0</v>
      </c>
      <c r="BL40" s="137">
        <v>0</v>
      </c>
      <c r="BM40" s="137">
        <v>2032.7199999999998</v>
      </c>
      <c r="BN40" s="137" t="s">
        <v>301</v>
      </c>
      <c r="BO40" s="137" t="s">
        <v>301</v>
      </c>
      <c r="BP40" s="137">
        <v>5938.22</v>
      </c>
      <c r="BQ40" s="137" t="s">
        <v>301</v>
      </c>
      <c r="BR40" s="137" t="s">
        <v>301</v>
      </c>
      <c r="BS40" s="137" t="s">
        <v>301</v>
      </c>
      <c r="BT40" s="137">
        <v>0</v>
      </c>
      <c r="BU40" s="137" t="s">
        <v>301</v>
      </c>
      <c r="BV40" s="137" t="s">
        <v>301</v>
      </c>
      <c r="BW40" s="137" t="s">
        <v>301</v>
      </c>
      <c r="BX40" s="137"/>
      <c r="BY40" s="137"/>
    </row>
    <row r="41" spans="1:77" x14ac:dyDescent="0.2">
      <c r="A41" s="137" t="s">
        <v>330</v>
      </c>
      <c r="B41" s="137">
        <v>167.16</v>
      </c>
      <c r="C41" s="137">
        <v>0</v>
      </c>
      <c r="D41" s="137">
        <v>0</v>
      </c>
      <c r="E41" s="137">
        <v>732.84</v>
      </c>
      <c r="F41" s="138">
        <v>369.86</v>
      </c>
      <c r="G41" s="137">
        <v>82.08</v>
      </c>
      <c r="H41" s="137">
        <v>214.87</v>
      </c>
      <c r="I41" s="137">
        <v>220.29</v>
      </c>
      <c r="J41" s="137">
        <v>164.73</v>
      </c>
      <c r="K41" s="137">
        <v>714.13</v>
      </c>
      <c r="L41" s="137">
        <v>256.24</v>
      </c>
      <c r="M41" s="137">
        <v>24</v>
      </c>
      <c r="N41" s="137">
        <v>393.17</v>
      </c>
      <c r="O41" s="137">
        <v>212.68</v>
      </c>
      <c r="P41" s="137">
        <v>321.69</v>
      </c>
      <c r="Q41" s="137">
        <v>721.46</v>
      </c>
      <c r="R41" s="137">
        <v>86.95</v>
      </c>
      <c r="S41" s="137">
        <v>37.6</v>
      </c>
      <c r="T41" s="137">
        <v>302.41000000000003</v>
      </c>
      <c r="U41" s="137">
        <v>196.14</v>
      </c>
      <c r="V41" s="137">
        <v>102.79</v>
      </c>
      <c r="W41" s="137">
        <v>337.65</v>
      </c>
      <c r="X41" s="137">
        <v>51.13</v>
      </c>
      <c r="Y41" s="137">
        <v>920.65</v>
      </c>
      <c r="Z41" s="137">
        <v>1.83</v>
      </c>
      <c r="AA41" s="137">
        <v>250.72</v>
      </c>
      <c r="AB41" s="138">
        <v>722.75</v>
      </c>
      <c r="AC41" s="137">
        <v>1883.34</v>
      </c>
      <c r="AD41" s="137">
        <v>3937.98</v>
      </c>
      <c r="AE41" s="137">
        <v>5418.52</v>
      </c>
      <c r="AF41" s="137">
        <v>10229.01</v>
      </c>
      <c r="AG41" s="137">
        <v>224.59</v>
      </c>
      <c r="AH41" s="137">
        <v>1102.77</v>
      </c>
      <c r="AI41" s="137">
        <v>2984.05</v>
      </c>
      <c r="AJ41" s="137">
        <v>769.8</v>
      </c>
      <c r="AK41" s="137">
        <v>966.96</v>
      </c>
      <c r="AL41" s="137">
        <v>409.67</v>
      </c>
      <c r="AM41" s="137">
        <v>270.36</v>
      </c>
      <c r="AN41" s="137">
        <v>1214.33</v>
      </c>
      <c r="AO41" s="137">
        <v>2742.97</v>
      </c>
      <c r="AP41" s="137">
        <v>3879.76</v>
      </c>
      <c r="AQ41" s="137">
        <v>1220.51</v>
      </c>
      <c r="AR41" s="137">
        <v>259.64999999999998</v>
      </c>
      <c r="AS41" s="137">
        <v>0</v>
      </c>
      <c r="AT41" s="137">
        <v>4564.9799999999996</v>
      </c>
      <c r="AU41" s="137">
        <v>4904.26</v>
      </c>
      <c r="AV41" s="137">
        <v>845.06</v>
      </c>
      <c r="AW41" s="137">
        <v>532.78</v>
      </c>
      <c r="AX41" s="137">
        <v>524.82000000000005</v>
      </c>
      <c r="AY41" s="137">
        <v>471.39</v>
      </c>
      <c r="AZ41" s="137">
        <v>669.42</v>
      </c>
      <c r="BA41" s="137">
        <v>2583.86</v>
      </c>
      <c r="BB41" s="137">
        <v>524.54</v>
      </c>
      <c r="BC41" s="137">
        <v>1852.29</v>
      </c>
      <c r="BD41" s="137">
        <v>4397.1400000000003</v>
      </c>
      <c r="BE41" s="137">
        <v>14485.25</v>
      </c>
      <c r="BF41" s="137">
        <v>4475.1899999999996</v>
      </c>
      <c r="BG41" s="137">
        <v>1042.07</v>
      </c>
      <c r="BH41" s="137">
        <v>2004.63</v>
      </c>
      <c r="BI41" s="137">
        <v>152.57</v>
      </c>
      <c r="BJ41" s="137">
        <v>352.25</v>
      </c>
      <c r="BK41" s="137">
        <v>18.100000000000001</v>
      </c>
      <c r="BL41" s="137">
        <v>198.8</v>
      </c>
      <c r="BM41" s="137">
        <v>89719.490000000034</v>
      </c>
      <c r="BN41" s="137" t="s">
        <v>301</v>
      </c>
      <c r="BO41" s="137" t="s">
        <v>301</v>
      </c>
      <c r="BP41" s="137">
        <v>67283.62</v>
      </c>
      <c r="BQ41" s="137" t="s">
        <v>301</v>
      </c>
      <c r="BR41" s="137" t="s">
        <v>301</v>
      </c>
      <c r="BS41" s="137" t="s">
        <v>301</v>
      </c>
      <c r="BT41" s="137">
        <v>0</v>
      </c>
      <c r="BU41" s="137">
        <v>0</v>
      </c>
      <c r="BV41" s="137" t="s">
        <v>301</v>
      </c>
      <c r="BW41" s="137">
        <v>3300.77</v>
      </c>
      <c r="BX41" s="137"/>
      <c r="BY41" s="137"/>
    </row>
    <row r="42" spans="1:77" x14ac:dyDescent="0.2">
      <c r="A42" s="137" t="s">
        <v>331</v>
      </c>
      <c r="B42" s="137">
        <v>0</v>
      </c>
      <c r="C42" s="137">
        <v>0</v>
      </c>
      <c r="D42" s="137">
        <v>0</v>
      </c>
      <c r="E42" s="137">
        <v>0</v>
      </c>
      <c r="F42" s="138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  <c r="V42" s="137">
        <v>0</v>
      </c>
      <c r="W42" s="137">
        <v>0</v>
      </c>
      <c r="X42" s="137">
        <v>0</v>
      </c>
      <c r="Y42" s="137">
        <v>0</v>
      </c>
      <c r="Z42" s="137">
        <v>0</v>
      </c>
      <c r="AA42" s="137">
        <v>0</v>
      </c>
      <c r="AB42" s="138">
        <v>0</v>
      </c>
      <c r="AC42" s="137">
        <v>0</v>
      </c>
      <c r="AD42" s="137">
        <v>0</v>
      </c>
      <c r="AE42" s="137">
        <v>0</v>
      </c>
      <c r="AF42" s="137">
        <v>4.3899999999999997</v>
      </c>
      <c r="AG42" s="137">
        <v>0</v>
      </c>
      <c r="AH42" s="137">
        <v>0</v>
      </c>
      <c r="AI42" s="137">
        <v>0</v>
      </c>
      <c r="AJ42" s="137">
        <v>552.74</v>
      </c>
      <c r="AK42" s="137">
        <v>0</v>
      </c>
      <c r="AL42" s="137">
        <v>0</v>
      </c>
      <c r="AM42" s="137">
        <v>0</v>
      </c>
      <c r="AN42" s="137">
        <v>0</v>
      </c>
      <c r="AO42" s="137">
        <v>0</v>
      </c>
      <c r="AP42" s="137">
        <v>0</v>
      </c>
      <c r="AQ42" s="137">
        <v>0</v>
      </c>
      <c r="AR42" s="137">
        <v>0</v>
      </c>
      <c r="AS42" s="137">
        <v>0</v>
      </c>
      <c r="AT42" s="137">
        <v>0</v>
      </c>
      <c r="AU42" s="137">
        <v>89.68</v>
      </c>
      <c r="AV42" s="137">
        <v>0</v>
      </c>
      <c r="AW42" s="137">
        <v>1141.25</v>
      </c>
      <c r="AX42" s="137">
        <v>0</v>
      </c>
      <c r="AY42" s="137">
        <v>0</v>
      </c>
      <c r="AZ42" s="137">
        <v>0</v>
      </c>
      <c r="BA42" s="137">
        <v>0</v>
      </c>
      <c r="BB42" s="137">
        <v>0</v>
      </c>
      <c r="BC42" s="137">
        <v>0</v>
      </c>
      <c r="BD42" s="137">
        <v>1824.2</v>
      </c>
      <c r="BE42" s="137">
        <v>303.02999999999997</v>
      </c>
      <c r="BF42" s="137">
        <v>62.2</v>
      </c>
      <c r="BG42" s="137">
        <v>0</v>
      </c>
      <c r="BH42" s="137">
        <v>0</v>
      </c>
      <c r="BI42" s="137">
        <v>0</v>
      </c>
      <c r="BJ42" s="137">
        <v>0</v>
      </c>
      <c r="BK42" s="137">
        <v>0</v>
      </c>
      <c r="BL42" s="137">
        <v>0</v>
      </c>
      <c r="BM42" s="137">
        <v>3977.49</v>
      </c>
      <c r="BN42" s="137" t="s">
        <v>301</v>
      </c>
      <c r="BO42" s="137" t="s">
        <v>301</v>
      </c>
      <c r="BP42" s="137">
        <v>25771.85</v>
      </c>
      <c r="BQ42" s="137" t="s">
        <v>301</v>
      </c>
      <c r="BR42" s="137" t="s">
        <v>301</v>
      </c>
      <c r="BS42" s="137" t="s">
        <v>301</v>
      </c>
      <c r="BT42" s="137">
        <v>0</v>
      </c>
      <c r="BU42" s="137">
        <v>0</v>
      </c>
      <c r="BV42" s="137" t="s">
        <v>301</v>
      </c>
      <c r="BW42" s="137">
        <v>4823.3599999999997</v>
      </c>
      <c r="BX42" s="137"/>
      <c r="BY42" s="137"/>
    </row>
    <row r="43" spans="1:77" x14ac:dyDescent="0.2">
      <c r="A43" s="137" t="s">
        <v>332</v>
      </c>
      <c r="B43" s="137">
        <v>0</v>
      </c>
      <c r="C43" s="137">
        <v>0</v>
      </c>
      <c r="D43" s="137">
        <v>0</v>
      </c>
      <c r="E43" s="137">
        <v>485.79</v>
      </c>
      <c r="F43" s="138">
        <v>728.8</v>
      </c>
      <c r="G43" s="137">
        <v>53.4</v>
      </c>
      <c r="H43" s="137">
        <v>183.49</v>
      </c>
      <c r="I43" s="137">
        <v>159.03</v>
      </c>
      <c r="J43" s="137">
        <v>272.49</v>
      </c>
      <c r="K43" s="137">
        <v>132.30000000000001</v>
      </c>
      <c r="L43" s="137">
        <v>368.89</v>
      </c>
      <c r="M43" s="137">
        <v>12.46</v>
      </c>
      <c r="N43" s="137">
        <v>473.64</v>
      </c>
      <c r="O43" s="137">
        <v>325.94</v>
      </c>
      <c r="P43" s="137">
        <v>321.81</v>
      </c>
      <c r="Q43" s="137">
        <v>650.6</v>
      </c>
      <c r="R43" s="137">
        <v>33.01</v>
      </c>
      <c r="S43" s="137">
        <v>38.020000000000003</v>
      </c>
      <c r="T43" s="137">
        <v>400.04</v>
      </c>
      <c r="U43" s="137">
        <v>219.04</v>
      </c>
      <c r="V43" s="137">
        <v>135.80000000000001</v>
      </c>
      <c r="W43" s="137">
        <v>364.79</v>
      </c>
      <c r="X43" s="137">
        <v>120.66</v>
      </c>
      <c r="Y43" s="137">
        <v>1067.8499999999999</v>
      </c>
      <c r="Z43" s="137">
        <v>12</v>
      </c>
      <c r="AA43" s="137">
        <v>627.54999999999995</v>
      </c>
      <c r="AB43" s="138">
        <v>364.01</v>
      </c>
      <c r="AC43" s="137">
        <v>2613.48</v>
      </c>
      <c r="AD43" s="137">
        <v>4827.79</v>
      </c>
      <c r="AE43" s="137">
        <v>481.43</v>
      </c>
      <c r="AF43" s="137">
        <v>1792.38</v>
      </c>
      <c r="AG43" s="137">
        <v>329.92</v>
      </c>
      <c r="AH43" s="137">
        <v>334.71</v>
      </c>
      <c r="AI43" s="137">
        <v>1153.3</v>
      </c>
      <c r="AJ43" s="137">
        <v>260.76</v>
      </c>
      <c r="AK43" s="137">
        <v>1771.18</v>
      </c>
      <c r="AL43" s="137">
        <v>772.02</v>
      </c>
      <c r="AM43" s="137">
        <v>631.16999999999996</v>
      </c>
      <c r="AN43" s="137">
        <v>1578.31</v>
      </c>
      <c r="AO43" s="137">
        <v>5434.59</v>
      </c>
      <c r="AP43" s="137">
        <v>8825.76</v>
      </c>
      <c r="AQ43" s="137">
        <v>432.96</v>
      </c>
      <c r="AR43" s="137">
        <v>459.21</v>
      </c>
      <c r="AS43" s="137">
        <v>0</v>
      </c>
      <c r="AT43" s="137">
        <v>9777.5300000000007</v>
      </c>
      <c r="AU43" s="137">
        <v>4133.8599999999997</v>
      </c>
      <c r="AV43" s="137">
        <v>1683.88</v>
      </c>
      <c r="AW43" s="137">
        <v>691.1</v>
      </c>
      <c r="AX43" s="137">
        <v>1045.97</v>
      </c>
      <c r="AY43" s="137">
        <v>775.49</v>
      </c>
      <c r="AZ43" s="137">
        <v>1125.17</v>
      </c>
      <c r="BA43" s="137">
        <v>4713.45</v>
      </c>
      <c r="BB43" s="137">
        <v>794.33</v>
      </c>
      <c r="BC43" s="137">
        <v>4046.87</v>
      </c>
      <c r="BD43" s="137">
        <v>9081.73</v>
      </c>
      <c r="BE43" s="137">
        <v>1895.39</v>
      </c>
      <c r="BF43" s="137">
        <v>4373.7</v>
      </c>
      <c r="BG43" s="137">
        <v>1143.07</v>
      </c>
      <c r="BH43" s="137">
        <v>323.37</v>
      </c>
      <c r="BI43" s="137">
        <v>238.69</v>
      </c>
      <c r="BJ43" s="137">
        <v>680.35</v>
      </c>
      <c r="BK43" s="137">
        <v>34.22</v>
      </c>
      <c r="BL43" s="137">
        <v>328.25</v>
      </c>
      <c r="BM43" s="137">
        <v>86136.799999999988</v>
      </c>
      <c r="BN43" s="137" t="s">
        <v>301</v>
      </c>
      <c r="BO43" s="137" t="s">
        <v>301</v>
      </c>
      <c r="BP43" s="137">
        <v>148801.82999999999</v>
      </c>
      <c r="BQ43" s="137" t="s">
        <v>301</v>
      </c>
      <c r="BR43" s="137" t="s">
        <v>301</v>
      </c>
      <c r="BS43" s="137" t="s">
        <v>301</v>
      </c>
      <c r="BT43" s="137">
        <v>0</v>
      </c>
      <c r="BU43" s="137">
        <v>0</v>
      </c>
      <c r="BV43" s="137" t="s">
        <v>301</v>
      </c>
      <c r="BW43" s="137">
        <v>47393.98</v>
      </c>
      <c r="BX43" s="137"/>
      <c r="BY43" s="137"/>
    </row>
    <row r="44" spans="1:77" x14ac:dyDescent="0.2">
      <c r="A44" s="137" t="s">
        <v>333</v>
      </c>
      <c r="B44" s="137">
        <v>342.42</v>
      </c>
      <c r="C44" s="137" t="s">
        <v>301</v>
      </c>
      <c r="D44" s="137">
        <v>138.24</v>
      </c>
      <c r="E44" s="137">
        <v>1797.27</v>
      </c>
      <c r="F44" s="138">
        <v>4648</v>
      </c>
      <c r="G44" s="137">
        <v>1883.11</v>
      </c>
      <c r="H44" s="137">
        <v>4095.8</v>
      </c>
      <c r="I44" s="137">
        <v>3907.51</v>
      </c>
      <c r="J44" s="137">
        <v>1919.06</v>
      </c>
      <c r="K44" s="137">
        <v>4807.6400000000003</v>
      </c>
      <c r="L44" s="137">
        <v>3438.06</v>
      </c>
      <c r="M44" s="137">
        <v>331.12</v>
      </c>
      <c r="N44" s="137">
        <v>5990.76</v>
      </c>
      <c r="O44" s="137">
        <v>3207.11</v>
      </c>
      <c r="P44" s="137">
        <v>411.99</v>
      </c>
      <c r="Q44" s="137">
        <v>1656.12</v>
      </c>
      <c r="R44" s="137">
        <v>951.6</v>
      </c>
      <c r="S44" s="137">
        <v>62.95</v>
      </c>
      <c r="T44" s="137">
        <v>634.91</v>
      </c>
      <c r="U44" s="137">
        <v>174.68</v>
      </c>
      <c r="V44" s="137">
        <v>162.77000000000001</v>
      </c>
      <c r="W44" s="137">
        <v>993.1</v>
      </c>
      <c r="X44" s="137">
        <v>94.38</v>
      </c>
      <c r="Y44" s="137">
        <v>8925.35</v>
      </c>
      <c r="Z44" s="137">
        <v>25.01</v>
      </c>
      <c r="AA44" s="137">
        <v>1440.24</v>
      </c>
      <c r="AB44" s="138">
        <v>0</v>
      </c>
      <c r="AC44" s="137">
        <v>12777.99</v>
      </c>
      <c r="AD44" s="137">
        <v>43706.12</v>
      </c>
      <c r="AE44" s="137">
        <v>48782.35</v>
      </c>
      <c r="AF44" s="137">
        <v>31596.16</v>
      </c>
      <c r="AG44" s="137">
        <v>4780.9399999999996</v>
      </c>
      <c r="AH44" s="137">
        <v>20548.830000000002</v>
      </c>
      <c r="AI44" s="137">
        <v>32395.59</v>
      </c>
      <c r="AJ44" s="137">
        <v>11817.7</v>
      </c>
      <c r="AK44" s="137">
        <v>2346.38</v>
      </c>
      <c r="AL44" s="137">
        <v>1417.99</v>
      </c>
      <c r="AM44" s="137">
        <v>830.04</v>
      </c>
      <c r="AN44" s="137">
        <v>743.62</v>
      </c>
      <c r="AO44" s="137">
        <v>3018.44</v>
      </c>
      <c r="AP44" s="137">
        <v>44.74</v>
      </c>
      <c r="AQ44" s="137">
        <v>4.87</v>
      </c>
      <c r="AR44" s="137">
        <v>181.79</v>
      </c>
      <c r="AS44" s="137" t="s">
        <v>301</v>
      </c>
      <c r="AT44" s="137">
        <v>62.21</v>
      </c>
      <c r="AU44" s="137">
        <v>2143.4</v>
      </c>
      <c r="AV44" s="137">
        <v>221.06</v>
      </c>
      <c r="AW44" s="137">
        <v>6002.97</v>
      </c>
      <c r="AX44" s="137">
        <v>971.98</v>
      </c>
      <c r="AY44" s="137">
        <v>357.72</v>
      </c>
      <c r="AZ44" s="137">
        <v>1317.79</v>
      </c>
      <c r="BA44" s="137">
        <v>1575.7</v>
      </c>
      <c r="BB44" s="137">
        <v>285.62</v>
      </c>
      <c r="BC44" s="137">
        <v>1813.93</v>
      </c>
      <c r="BD44" s="137">
        <v>7850.13</v>
      </c>
      <c r="BE44" s="137">
        <v>1472.27</v>
      </c>
      <c r="BF44" s="137">
        <v>3459.48</v>
      </c>
      <c r="BG44" s="137">
        <v>972.19</v>
      </c>
      <c r="BH44" s="137">
        <v>918.64</v>
      </c>
      <c r="BI44" s="137">
        <v>500.29</v>
      </c>
      <c r="BJ44" s="137">
        <v>438.33</v>
      </c>
      <c r="BK44" s="137">
        <v>90.93</v>
      </c>
      <c r="BL44" s="137">
        <v>559.41999999999996</v>
      </c>
      <c r="BM44" s="137">
        <v>298046.80999999994</v>
      </c>
      <c r="BN44" s="137" t="s">
        <v>301</v>
      </c>
      <c r="BO44" s="137" t="s">
        <v>301</v>
      </c>
      <c r="BP44" s="137">
        <v>14559.65</v>
      </c>
      <c r="BQ44" s="137" t="s">
        <v>301</v>
      </c>
      <c r="BR44" s="137" t="s">
        <v>301</v>
      </c>
      <c r="BS44" s="137" t="s">
        <v>301</v>
      </c>
      <c r="BT44" s="137" t="s">
        <v>301</v>
      </c>
      <c r="BU44" s="137" t="s">
        <v>301</v>
      </c>
      <c r="BV44" s="137" t="s">
        <v>301</v>
      </c>
      <c r="BW44" s="137">
        <v>943.13</v>
      </c>
      <c r="BX44" s="137"/>
      <c r="BY44" s="137"/>
    </row>
    <row r="45" spans="1:77" x14ac:dyDescent="0.2">
      <c r="A45" s="137" t="s">
        <v>334</v>
      </c>
      <c r="B45" s="137">
        <v>13.21</v>
      </c>
      <c r="C45" s="137" t="s">
        <v>301</v>
      </c>
      <c r="D45" s="137">
        <v>0</v>
      </c>
      <c r="E45" s="137">
        <v>5.78</v>
      </c>
      <c r="F45" s="138">
        <v>0</v>
      </c>
      <c r="G45" s="137">
        <v>1.02</v>
      </c>
      <c r="H45" s="137" t="s">
        <v>301</v>
      </c>
      <c r="I45" s="137" t="s">
        <v>301</v>
      </c>
      <c r="J45" s="137">
        <v>70.11</v>
      </c>
      <c r="K45" s="137">
        <v>42.84</v>
      </c>
      <c r="L45" s="137">
        <v>53.39</v>
      </c>
      <c r="M45" s="137" t="s">
        <v>301</v>
      </c>
      <c r="N45" s="137">
        <v>0.71</v>
      </c>
      <c r="O45" s="137" t="s">
        <v>301</v>
      </c>
      <c r="P45" s="137">
        <v>12.91</v>
      </c>
      <c r="Q45" s="137">
        <v>25.62</v>
      </c>
      <c r="R45" s="137">
        <v>0.02</v>
      </c>
      <c r="S45" s="137">
        <v>113.34</v>
      </c>
      <c r="T45" s="137">
        <v>261.64999999999998</v>
      </c>
      <c r="U45" s="137" t="s">
        <v>301</v>
      </c>
      <c r="V45" s="137" t="s">
        <v>301</v>
      </c>
      <c r="W45" s="137">
        <v>17.989999999999998</v>
      </c>
      <c r="X45" s="137">
        <v>88.82</v>
      </c>
      <c r="Y45" s="137">
        <v>200.78</v>
      </c>
      <c r="Z45" s="137">
        <v>8.06</v>
      </c>
      <c r="AA45" s="137">
        <v>281.47000000000003</v>
      </c>
      <c r="AB45" s="138">
        <v>5.85</v>
      </c>
      <c r="AC45" s="137">
        <v>2825.86</v>
      </c>
      <c r="AD45" s="137">
        <v>37420.51</v>
      </c>
      <c r="AE45" s="137">
        <v>11068.42</v>
      </c>
      <c r="AF45" s="137">
        <v>32431.05</v>
      </c>
      <c r="AG45" s="137">
        <v>4021.17</v>
      </c>
      <c r="AH45" s="137">
        <v>10.68</v>
      </c>
      <c r="AI45" s="137">
        <v>1766.79</v>
      </c>
      <c r="AJ45" s="137">
        <v>1819.4</v>
      </c>
      <c r="AK45" s="137">
        <v>4121.0600000000004</v>
      </c>
      <c r="AL45" s="137">
        <v>1487.59</v>
      </c>
      <c r="AM45" s="137">
        <v>954.58</v>
      </c>
      <c r="AN45" s="137">
        <v>308.08</v>
      </c>
      <c r="AO45" s="137">
        <v>3772.17</v>
      </c>
      <c r="AP45" s="137">
        <v>5567.09</v>
      </c>
      <c r="AQ45" s="137">
        <v>24.57</v>
      </c>
      <c r="AR45" s="137">
        <v>249.01</v>
      </c>
      <c r="AS45" s="137" t="s">
        <v>301</v>
      </c>
      <c r="AT45" s="137">
        <v>325.33</v>
      </c>
      <c r="AU45" s="137">
        <v>2977.45</v>
      </c>
      <c r="AV45" s="137">
        <v>417.92</v>
      </c>
      <c r="AW45" s="137">
        <v>397.87</v>
      </c>
      <c r="AX45" s="137">
        <v>1251.06</v>
      </c>
      <c r="AY45" s="137">
        <v>553.97</v>
      </c>
      <c r="AZ45" s="137">
        <v>1459.44</v>
      </c>
      <c r="BA45" s="137">
        <v>551.54999999999995</v>
      </c>
      <c r="BB45" s="137">
        <v>362.43</v>
      </c>
      <c r="BC45" s="137">
        <v>2109.6799999999998</v>
      </c>
      <c r="BD45" s="137">
        <v>1947.33</v>
      </c>
      <c r="BE45" s="137">
        <v>1077.3800000000001</v>
      </c>
      <c r="BF45" s="137">
        <v>4859.7700000000004</v>
      </c>
      <c r="BG45" s="137">
        <v>1359.71</v>
      </c>
      <c r="BH45" s="137">
        <v>323.82</v>
      </c>
      <c r="BI45" s="137">
        <v>161.97</v>
      </c>
      <c r="BJ45" s="137">
        <v>1412.88</v>
      </c>
      <c r="BK45" s="137">
        <v>46.15</v>
      </c>
      <c r="BL45" s="137">
        <v>623.26</v>
      </c>
      <c r="BM45" s="137">
        <v>131270.56999999998</v>
      </c>
      <c r="BN45" s="137" t="s">
        <v>301</v>
      </c>
      <c r="BO45" s="137" t="s">
        <v>301</v>
      </c>
      <c r="BP45" s="137">
        <v>12646.33</v>
      </c>
      <c r="BQ45" s="137" t="s">
        <v>301</v>
      </c>
      <c r="BR45" s="137" t="s">
        <v>301</v>
      </c>
      <c r="BS45" s="137" t="s">
        <v>301</v>
      </c>
      <c r="BT45" s="137" t="s">
        <v>301</v>
      </c>
      <c r="BU45" s="137" t="s">
        <v>301</v>
      </c>
      <c r="BV45" s="137" t="s">
        <v>301</v>
      </c>
      <c r="BW45" s="137">
        <v>11357.53</v>
      </c>
      <c r="BX45" s="137"/>
      <c r="BY45" s="137"/>
    </row>
    <row r="46" spans="1:77" x14ac:dyDescent="0.2">
      <c r="A46" s="137" t="s">
        <v>335</v>
      </c>
      <c r="B46" s="137">
        <v>461.82</v>
      </c>
      <c r="C46" s="137">
        <v>29.41</v>
      </c>
      <c r="D46" s="137">
        <v>2.81</v>
      </c>
      <c r="E46" s="137">
        <v>1016.13</v>
      </c>
      <c r="F46" s="138">
        <v>1339.81</v>
      </c>
      <c r="G46" s="137">
        <v>113.96</v>
      </c>
      <c r="H46" s="137">
        <v>308.56</v>
      </c>
      <c r="I46" s="137">
        <v>287.36</v>
      </c>
      <c r="J46" s="137">
        <v>491.67</v>
      </c>
      <c r="K46" s="137">
        <v>315.23</v>
      </c>
      <c r="L46" s="137">
        <v>605.4</v>
      </c>
      <c r="M46" s="137">
        <v>49.74</v>
      </c>
      <c r="N46" s="137">
        <v>837.37</v>
      </c>
      <c r="O46" s="137">
        <v>543.80999999999995</v>
      </c>
      <c r="P46" s="137">
        <v>609.80999999999995</v>
      </c>
      <c r="Q46" s="137">
        <v>1015.45</v>
      </c>
      <c r="R46" s="137">
        <v>57.78</v>
      </c>
      <c r="S46" s="137">
        <v>91.91</v>
      </c>
      <c r="T46" s="137">
        <v>708.43</v>
      </c>
      <c r="U46" s="137">
        <v>394.39</v>
      </c>
      <c r="V46" s="137">
        <v>228.34</v>
      </c>
      <c r="W46" s="137">
        <v>649.01</v>
      </c>
      <c r="X46" s="137">
        <v>433.17</v>
      </c>
      <c r="Y46" s="137">
        <v>3405.73</v>
      </c>
      <c r="Z46" s="137">
        <v>17.739999999999998</v>
      </c>
      <c r="AA46" s="137">
        <v>1268.58</v>
      </c>
      <c r="AB46" s="138">
        <v>937.79</v>
      </c>
      <c r="AC46" s="137">
        <v>2814.75</v>
      </c>
      <c r="AD46" s="137">
        <v>7391.53</v>
      </c>
      <c r="AE46" s="137">
        <v>6381.92</v>
      </c>
      <c r="AF46" s="137">
        <v>2114.65</v>
      </c>
      <c r="AG46" s="137">
        <v>40.520000000000003</v>
      </c>
      <c r="AH46" s="137">
        <v>11966.65</v>
      </c>
      <c r="AI46" s="137">
        <v>1516.04</v>
      </c>
      <c r="AJ46" s="137">
        <v>1982.72</v>
      </c>
      <c r="AK46" s="137">
        <v>15464.65</v>
      </c>
      <c r="AL46" s="137">
        <v>1389.03</v>
      </c>
      <c r="AM46" s="137">
        <v>1259.76</v>
      </c>
      <c r="AN46" s="137">
        <v>3316.48</v>
      </c>
      <c r="AO46" s="137">
        <v>12427.59</v>
      </c>
      <c r="AP46" s="137">
        <v>20659.599999999999</v>
      </c>
      <c r="AQ46" s="137">
        <v>9031.4599999999991</v>
      </c>
      <c r="AR46" s="137">
        <v>953.52</v>
      </c>
      <c r="AS46" s="137">
        <v>3508.55</v>
      </c>
      <c r="AT46" s="137">
        <v>37991.53</v>
      </c>
      <c r="AU46" s="137">
        <v>18907.3</v>
      </c>
      <c r="AV46" s="137">
        <v>6966.29</v>
      </c>
      <c r="AW46" s="137">
        <v>3024.59</v>
      </c>
      <c r="AX46" s="137">
        <v>3022.93</v>
      </c>
      <c r="AY46" s="137">
        <v>2745.68</v>
      </c>
      <c r="AZ46" s="137">
        <v>3014.56</v>
      </c>
      <c r="BA46" s="137">
        <v>13054.08</v>
      </c>
      <c r="BB46" s="137">
        <v>3127.98</v>
      </c>
      <c r="BC46" s="137">
        <v>11945.21</v>
      </c>
      <c r="BD46" s="137">
        <v>15802.26</v>
      </c>
      <c r="BE46" s="137">
        <v>9157.11</v>
      </c>
      <c r="BF46" s="137">
        <v>41389.97</v>
      </c>
      <c r="BG46" s="137">
        <v>12279.43</v>
      </c>
      <c r="BH46" s="137">
        <v>1883.75</v>
      </c>
      <c r="BI46" s="137">
        <v>1060.1600000000001</v>
      </c>
      <c r="BJ46" s="137">
        <v>2487.62</v>
      </c>
      <c r="BK46" s="137">
        <v>61.63</v>
      </c>
      <c r="BL46" s="137">
        <v>1731.65</v>
      </c>
      <c r="BM46" s="137">
        <v>308094.36</v>
      </c>
      <c r="BN46" s="137" t="s">
        <v>301</v>
      </c>
      <c r="BO46" s="137" t="s">
        <v>301</v>
      </c>
      <c r="BP46" s="137">
        <v>946470.13</v>
      </c>
      <c r="BQ46" s="137" t="s">
        <v>301</v>
      </c>
      <c r="BR46" s="137" t="s">
        <v>301</v>
      </c>
      <c r="BS46" s="137" t="s">
        <v>301</v>
      </c>
      <c r="BT46" s="137" t="s">
        <v>301</v>
      </c>
      <c r="BU46" s="137" t="s">
        <v>301</v>
      </c>
      <c r="BV46" s="137" t="s">
        <v>301</v>
      </c>
      <c r="BW46" s="137">
        <v>2677.85</v>
      </c>
      <c r="BX46" s="137"/>
      <c r="BY46" s="137"/>
    </row>
    <row r="47" spans="1:77" x14ac:dyDescent="0.2">
      <c r="A47" s="137" t="s">
        <v>336</v>
      </c>
      <c r="B47" s="137">
        <v>42.51</v>
      </c>
      <c r="C47" s="137">
        <v>1.24</v>
      </c>
      <c r="D47" s="137">
        <v>0</v>
      </c>
      <c r="E47" s="137">
        <v>33.6</v>
      </c>
      <c r="F47" s="138">
        <v>6.5</v>
      </c>
      <c r="G47" s="137">
        <v>0.06</v>
      </c>
      <c r="H47" s="137">
        <v>1.54</v>
      </c>
      <c r="I47" s="137">
        <v>4.21</v>
      </c>
      <c r="J47" s="137">
        <v>49.96</v>
      </c>
      <c r="K47" s="137">
        <v>7.52</v>
      </c>
      <c r="L47" s="137">
        <v>17.399999999999999</v>
      </c>
      <c r="M47" s="137">
        <v>22.34</v>
      </c>
      <c r="N47" s="137">
        <v>9.31</v>
      </c>
      <c r="O47" s="137">
        <v>1.07</v>
      </c>
      <c r="P47" s="137">
        <v>8.42</v>
      </c>
      <c r="Q47" s="137">
        <v>30.16</v>
      </c>
      <c r="R47" s="137">
        <v>6.15</v>
      </c>
      <c r="S47" s="137">
        <v>1.32</v>
      </c>
      <c r="T47" s="137">
        <v>31.79</v>
      </c>
      <c r="U47" s="137">
        <v>15.55</v>
      </c>
      <c r="V47" s="137">
        <v>98.12</v>
      </c>
      <c r="W47" s="137">
        <v>29</v>
      </c>
      <c r="X47" s="137">
        <v>149.03</v>
      </c>
      <c r="Y47" s="137">
        <v>181.91</v>
      </c>
      <c r="Z47" s="137">
        <v>0</v>
      </c>
      <c r="AA47" s="137">
        <v>9.4499999999999993</v>
      </c>
      <c r="AB47" s="138">
        <v>560.58000000000004</v>
      </c>
      <c r="AC47" s="137">
        <v>478.7</v>
      </c>
      <c r="AD47" s="137">
        <v>2013.14</v>
      </c>
      <c r="AE47" s="137">
        <v>1002.4</v>
      </c>
      <c r="AF47" s="137">
        <v>161.33000000000001</v>
      </c>
      <c r="AG47" s="137">
        <v>16.190000000000001</v>
      </c>
      <c r="AH47" s="137">
        <v>8.76</v>
      </c>
      <c r="AI47" s="137">
        <v>525.38</v>
      </c>
      <c r="AJ47" s="137">
        <v>34.840000000000003</v>
      </c>
      <c r="AK47" s="137">
        <v>234.87</v>
      </c>
      <c r="AL47" s="137">
        <v>17410.54</v>
      </c>
      <c r="AM47" s="137">
        <v>96.81</v>
      </c>
      <c r="AN47" s="137">
        <v>827.67</v>
      </c>
      <c r="AO47" s="137">
        <v>2909.83</v>
      </c>
      <c r="AP47" s="137">
        <v>1325.03</v>
      </c>
      <c r="AQ47" s="137">
        <v>214.75</v>
      </c>
      <c r="AR47" s="137">
        <v>38.35</v>
      </c>
      <c r="AS47" s="137">
        <v>23.83</v>
      </c>
      <c r="AT47" s="137">
        <v>386.93</v>
      </c>
      <c r="AU47" s="137">
        <v>4644.54</v>
      </c>
      <c r="AV47" s="137">
        <v>1543.73</v>
      </c>
      <c r="AW47" s="137">
        <v>1045.27</v>
      </c>
      <c r="AX47" s="137">
        <v>322.82</v>
      </c>
      <c r="AY47" s="137">
        <v>584.27</v>
      </c>
      <c r="AZ47" s="137">
        <v>343.57</v>
      </c>
      <c r="BA47" s="137">
        <v>920.44</v>
      </c>
      <c r="BB47" s="137">
        <v>153.02000000000001</v>
      </c>
      <c r="BC47" s="137">
        <v>1443.05</v>
      </c>
      <c r="BD47" s="137">
        <v>5087.6400000000003</v>
      </c>
      <c r="BE47" s="137">
        <v>9718.35</v>
      </c>
      <c r="BF47" s="137">
        <v>3299.12</v>
      </c>
      <c r="BG47" s="137">
        <v>1151.3499999999999</v>
      </c>
      <c r="BH47" s="137">
        <v>53.4</v>
      </c>
      <c r="BI47" s="137">
        <v>51.54</v>
      </c>
      <c r="BJ47" s="137">
        <v>463.58</v>
      </c>
      <c r="BK47" s="137">
        <v>4.8899999999999997</v>
      </c>
      <c r="BL47" s="137">
        <v>258.04000000000002</v>
      </c>
      <c r="BM47" s="137">
        <v>60116.71</v>
      </c>
      <c r="BN47" s="137" t="s">
        <v>301</v>
      </c>
      <c r="BO47" s="137" t="s">
        <v>301</v>
      </c>
      <c r="BP47" s="137">
        <v>136782.84</v>
      </c>
      <c r="BQ47" s="137" t="s">
        <v>301</v>
      </c>
      <c r="BR47" s="137" t="s">
        <v>301</v>
      </c>
      <c r="BS47" s="137" t="s">
        <v>301</v>
      </c>
      <c r="BT47" s="137">
        <v>176526.41</v>
      </c>
      <c r="BU47" s="137">
        <v>1931.2</v>
      </c>
      <c r="BV47" s="137" t="s">
        <v>301</v>
      </c>
      <c r="BW47" s="137">
        <v>45465.97</v>
      </c>
      <c r="BX47" s="137"/>
      <c r="BY47" s="137"/>
    </row>
    <row r="48" spans="1:77" x14ac:dyDescent="0.2">
      <c r="A48" s="137" t="s">
        <v>337</v>
      </c>
      <c r="B48" s="137" t="s">
        <v>301</v>
      </c>
      <c r="C48" s="137" t="s">
        <v>301</v>
      </c>
      <c r="D48" s="137" t="s">
        <v>301</v>
      </c>
      <c r="E48" s="137">
        <v>408.3</v>
      </c>
      <c r="F48" s="138" t="s">
        <v>367</v>
      </c>
      <c r="G48" s="137" t="s">
        <v>301</v>
      </c>
      <c r="H48" s="137" t="s">
        <v>301</v>
      </c>
      <c r="I48" s="137" t="s">
        <v>301</v>
      </c>
      <c r="J48" s="137" t="s">
        <v>301</v>
      </c>
      <c r="K48" s="137" t="s">
        <v>301</v>
      </c>
      <c r="L48" s="137" t="s">
        <v>301</v>
      </c>
      <c r="M48" s="137" t="s">
        <v>301</v>
      </c>
      <c r="N48" s="137" t="s">
        <v>301</v>
      </c>
      <c r="O48" s="137" t="s">
        <v>301</v>
      </c>
      <c r="P48" s="137" t="s">
        <v>301</v>
      </c>
      <c r="Q48" s="137" t="s">
        <v>301</v>
      </c>
      <c r="R48" s="137" t="s">
        <v>301</v>
      </c>
      <c r="S48" s="137" t="s">
        <v>301</v>
      </c>
      <c r="T48" s="137" t="s">
        <v>301</v>
      </c>
      <c r="U48" s="137" t="s">
        <v>301</v>
      </c>
      <c r="V48" s="137" t="s">
        <v>301</v>
      </c>
      <c r="W48" s="137" t="s">
        <v>301</v>
      </c>
      <c r="X48" s="137">
        <v>3.49</v>
      </c>
      <c r="Y48" s="137" t="s">
        <v>301</v>
      </c>
      <c r="Z48" s="137" t="s">
        <v>301</v>
      </c>
      <c r="AA48" s="137" t="s">
        <v>301</v>
      </c>
      <c r="AB48" s="138" t="s">
        <v>301</v>
      </c>
      <c r="AC48" s="137">
        <v>363.72</v>
      </c>
      <c r="AD48" s="137">
        <v>21.96</v>
      </c>
      <c r="AE48" s="137">
        <v>377.05</v>
      </c>
      <c r="AF48" s="137">
        <v>93.35</v>
      </c>
      <c r="AG48" s="137">
        <v>2.68</v>
      </c>
      <c r="AH48" s="137">
        <v>5.42</v>
      </c>
      <c r="AI48" s="137">
        <v>10.92</v>
      </c>
      <c r="AJ48" s="137" t="s">
        <v>301</v>
      </c>
      <c r="AK48" s="137">
        <v>5271.96</v>
      </c>
      <c r="AL48" s="137">
        <v>57.21</v>
      </c>
      <c r="AM48" s="137">
        <v>82853.100000000006</v>
      </c>
      <c r="AN48" s="137">
        <v>38795.660000000003</v>
      </c>
      <c r="AO48" s="137">
        <v>974.99</v>
      </c>
      <c r="AP48" s="137">
        <v>43.64</v>
      </c>
      <c r="AQ48" s="137" t="s">
        <v>301</v>
      </c>
      <c r="AR48" s="137">
        <v>0</v>
      </c>
      <c r="AS48" s="137" t="s">
        <v>301</v>
      </c>
      <c r="AT48" s="137">
        <v>102.78</v>
      </c>
      <c r="AU48" s="137">
        <v>205.14</v>
      </c>
      <c r="AV48" s="137">
        <v>2.96</v>
      </c>
      <c r="AW48" s="137">
        <v>6.95</v>
      </c>
      <c r="AX48" s="137">
        <v>2619.11</v>
      </c>
      <c r="AY48" s="137">
        <v>3.25</v>
      </c>
      <c r="AZ48" s="137">
        <v>579.45000000000005</v>
      </c>
      <c r="BA48" s="137">
        <v>0</v>
      </c>
      <c r="BB48" s="137">
        <v>9.58</v>
      </c>
      <c r="BC48" s="137">
        <v>53.58</v>
      </c>
      <c r="BD48" s="137">
        <v>3470.05</v>
      </c>
      <c r="BE48" s="137">
        <v>4419.1400000000003</v>
      </c>
      <c r="BF48" s="137">
        <v>59.48</v>
      </c>
      <c r="BG48" s="137">
        <v>3011.02</v>
      </c>
      <c r="BH48" s="137">
        <v>147.19999999999999</v>
      </c>
      <c r="BI48" s="137">
        <v>87.96</v>
      </c>
      <c r="BJ48" s="137">
        <v>725.43</v>
      </c>
      <c r="BK48" s="137">
        <v>0</v>
      </c>
      <c r="BL48" s="137">
        <v>28.42</v>
      </c>
      <c r="BM48" s="137">
        <v>144814.95000000001</v>
      </c>
      <c r="BN48" s="137" t="s">
        <v>301</v>
      </c>
      <c r="BO48" s="137" t="s">
        <v>301</v>
      </c>
      <c r="BP48" s="137">
        <v>42145.59</v>
      </c>
      <c r="BQ48" s="137" t="s">
        <v>301</v>
      </c>
      <c r="BR48" s="137" t="s">
        <v>301</v>
      </c>
      <c r="BS48" s="137" t="s">
        <v>301</v>
      </c>
      <c r="BT48" s="137">
        <v>72657.36</v>
      </c>
      <c r="BU48" s="137">
        <v>161.18</v>
      </c>
      <c r="BV48" s="137" t="s">
        <v>301</v>
      </c>
      <c r="BW48" s="137">
        <v>20725.84</v>
      </c>
      <c r="BX48" s="137"/>
      <c r="BY48" s="137"/>
    </row>
    <row r="49" spans="1:75" x14ac:dyDescent="0.2">
      <c r="A49" s="137" t="s">
        <v>338</v>
      </c>
      <c r="B49" s="137">
        <v>444.32</v>
      </c>
      <c r="C49" s="137">
        <v>24.87</v>
      </c>
      <c r="D49" s="137">
        <v>0</v>
      </c>
      <c r="E49" s="137">
        <v>1801.88</v>
      </c>
      <c r="F49" s="138">
        <v>1110.4100000000001</v>
      </c>
      <c r="G49" s="137">
        <v>155.27000000000001</v>
      </c>
      <c r="H49" s="137">
        <v>225.4</v>
      </c>
      <c r="I49" s="137">
        <v>230.4</v>
      </c>
      <c r="J49" s="137">
        <v>452.9</v>
      </c>
      <c r="K49" s="137">
        <v>233.19</v>
      </c>
      <c r="L49" s="137">
        <v>632.62</v>
      </c>
      <c r="M49" s="137">
        <v>315.81</v>
      </c>
      <c r="N49" s="137">
        <v>588.01</v>
      </c>
      <c r="O49" s="137">
        <v>434.41</v>
      </c>
      <c r="P49" s="137">
        <v>377.2</v>
      </c>
      <c r="Q49" s="137">
        <v>1055.58</v>
      </c>
      <c r="R49" s="137">
        <v>209.91</v>
      </c>
      <c r="S49" s="137">
        <v>165.37</v>
      </c>
      <c r="T49" s="137">
        <v>832.19</v>
      </c>
      <c r="U49" s="137">
        <v>374.33</v>
      </c>
      <c r="V49" s="137">
        <v>445.46</v>
      </c>
      <c r="W49" s="137">
        <v>602.91999999999996</v>
      </c>
      <c r="X49" s="137">
        <v>254.73</v>
      </c>
      <c r="Y49" s="137">
        <v>1590.55</v>
      </c>
      <c r="Z49" s="137">
        <v>99.73</v>
      </c>
      <c r="AA49" s="137">
        <v>669.09</v>
      </c>
      <c r="AB49" s="138">
        <v>6780.3</v>
      </c>
      <c r="AC49" s="137">
        <v>4639.1400000000003</v>
      </c>
      <c r="AD49" s="137">
        <v>17822.060000000001</v>
      </c>
      <c r="AE49" s="137">
        <v>11459.61</v>
      </c>
      <c r="AF49" s="137">
        <v>6428.73</v>
      </c>
      <c r="AG49" s="137">
        <v>277.3</v>
      </c>
      <c r="AH49" s="137">
        <v>516.85</v>
      </c>
      <c r="AI49" s="137">
        <v>3135.45</v>
      </c>
      <c r="AJ49" s="137">
        <v>598.79</v>
      </c>
      <c r="AK49" s="137">
        <v>7146.32</v>
      </c>
      <c r="AL49" s="137">
        <v>3325.2</v>
      </c>
      <c r="AM49" s="137">
        <v>1205.9000000000001</v>
      </c>
      <c r="AN49" s="137">
        <v>59510.84</v>
      </c>
      <c r="AO49" s="137">
        <v>11294.64</v>
      </c>
      <c r="AP49" s="137">
        <v>16195.11</v>
      </c>
      <c r="AQ49" s="137">
        <v>6712.84</v>
      </c>
      <c r="AR49" s="137">
        <v>465.27</v>
      </c>
      <c r="AS49" s="137">
        <v>1569.87</v>
      </c>
      <c r="AT49" s="137">
        <v>15762.41</v>
      </c>
      <c r="AU49" s="137">
        <v>14285.48</v>
      </c>
      <c r="AV49" s="137">
        <v>2760.92</v>
      </c>
      <c r="AW49" s="137">
        <v>1064</v>
      </c>
      <c r="AX49" s="137">
        <v>2422.5</v>
      </c>
      <c r="AY49" s="137">
        <v>2731.45</v>
      </c>
      <c r="AZ49" s="137">
        <v>1597.6</v>
      </c>
      <c r="BA49" s="137">
        <v>4640.3</v>
      </c>
      <c r="BB49" s="137">
        <v>1009.57</v>
      </c>
      <c r="BC49" s="137">
        <v>9095.89</v>
      </c>
      <c r="BD49" s="137">
        <v>33162.949999999997</v>
      </c>
      <c r="BE49" s="137">
        <v>15793.8</v>
      </c>
      <c r="BF49" s="137">
        <v>10558.65</v>
      </c>
      <c r="BG49" s="137">
        <v>2243.7199999999998</v>
      </c>
      <c r="BH49" s="137">
        <v>793.21</v>
      </c>
      <c r="BI49" s="137">
        <v>910.94</v>
      </c>
      <c r="BJ49" s="137">
        <v>2136.9499999999998</v>
      </c>
      <c r="BK49" s="137">
        <v>309.2</v>
      </c>
      <c r="BL49" s="137">
        <v>1586.65</v>
      </c>
      <c r="BM49" s="137">
        <v>295276.96000000008</v>
      </c>
      <c r="BN49" s="137" t="s">
        <v>301</v>
      </c>
      <c r="BO49" s="137" t="s">
        <v>301</v>
      </c>
      <c r="BP49" s="137">
        <v>327433.90000000002</v>
      </c>
      <c r="BQ49" s="137" t="s">
        <v>301</v>
      </c>
      <c r="BR49" s="137" t="s">
        <v>301</v>
      </c>
      <c r="BS49" s="137" t="s">
        <v>301</v>
      </c>
      <c r="BT49" s="137">
        <v>6783.8</v>
      </c>
      <c r="BU49" s="137" t="s">
        <v>301</v>
      </c>
      <c r="BV49" s="137" t="s">
        <v>301</v>
      </c>
      <c r="BW49" s="137">
        <v>11743.5</v>
      </c>
    </row>
    <row r="50" spans="1:75" x14ac:dyDescent="0.2">
      <c r="A50" s="137" t="s">
        <v>339</v>
      </c>
      <c r="B50" s="137">
        <v>353.05</v>
      </c>
      <c r="C50" s="137">
        <v>16.54</v>
      </c>
      <c r="D50" s="137">
        <v>0.78</v>
      </c>
      <c r="E50" s="137">
        <v>9317.6</v>
      </c>
      <c r="F50" s="138">
        <v>2133.4499999999998</v>
      </c>
      <c r="G50" s="137">
        <v>377.86</v>
      </c>
      <c r="H50" s="137">
        <v>858.35</v>
      </c>
      <c r="I50" s="137">
        <v>845.93</v>
      </c>
      <c r="J50" s="137">
        <v>654.16</v>
      </c>
      <c r="K50" s="137">
        <v>1278.47</v>
      </c>
      <c r="L50" s="137">
        <v>1061.6300000000001</v>
      </c>
      <c r="M50" s="137">
        <v>475.66</v>
      </c>
      <c r="N50" s="137">
        <v>1490.37</v>
      </c>
      <c r="O50" s="137">
        <v>1059.26</v>
      </c>
      <c r="P50" s="137">
        <v>1517.95</v>
      </c>
      <c r="Q50" s="137">
        <v>3325.52</v>
      </c>
      <c r="R50" s="137">
        <v>496.36</v>
      </c>
      <c r="S50" s="137">
        <v>304.60000000000002</v>
      </c>
      <c r="T50" s="137">
        <v>3158.03</v>
      </c>
      <c r="U50" s="137">
        <v>1025.26</v>
      </c>
      <c r="V50" s="137">
        <v>2479.04</v>
      </c>
      <c r="W50" s="137">
        <v>1529.44</v>
      </c>
      <c r="X50" s="137">
        <v>421.5</v>
      </c>
      <c r="Y50" s="137">
        <v>3847.28</v>
      </c>
      <c r="Z50" s="137">
        <v>47.49</v>
      </c>
      <c r="AA50" s="137">
        <v>1124.6199999999999</v>
      </c>
      <c r="AB50" s="138">
        <v>6138.12</v>
      </c>
      <c r="AC50" s="137">
        <v>8166.53</v>
      </c>
      <c r="AD50" s="137">
        <v>19961.46</v>
      </c>
      <c r="AE50" s="137">
        <v>15363.27</v>
      </c>
      <c r="AF50" s="137">
        <v>3472.6</v>
      </c>
      <c r="AG50" s="137">
        <v>24.45</v>
      </c>
      <c r="AH50" s="137">
        <v>399.06</v>
      </c>
      <c r="AI50" s="137">
        <v>1471.32</v>
      </c>
      <c r="AJ50" s="137">
        <v>462.48</v>
      </c>
      <c r="AK50" s="137">
        <v>8004.69</v>
      </c>
      <c r="AL50" s="137">
        <v>8088.83</v>
      </c>
      <c r="AM50" s="137">
        <v>1493.98</v>
      </c>
      <c r="AN50" s="137">
        <v>11229.68</v>
      </c>
      <c r="AO50" s="137">
        <v>35798.559999999998</v>
      </c>
      <c r="AP50" s="137">
        <v>29670.3</v>
      </c>
      <c r="AQ50" s="137">
        <v>9015.83</v>
      </c>
      <c r="AR50" s="137">
        <v>564.62</v>
      </c>
      <c r="AS50" s="137">
        <v>291.36</v>
      </c>
      <c r="AT50" s="137">
        <v>2939.11</v>
      </c>
      <c r="AU50" s="137">
        <v>48675.98</v>
      </c>
      <c r="AV50" s="137">
        <v>7133.64</v>
      </c>
      <c r="AW50" s="137">
        <v>5845.08</v>
      </c>
      <c r="AX50" s="137">
        <v>6019.58</v>
      </c>
      <c r="AY50" s="137">
        <v>4694.43</v>
      </c>
      <c r="AZ50" s="137">
        <v>6536.47</v>
      </c>
      <c r="BA50" s="137">
        <v>16533.5</v>
      </c>
      <c r="BB50" s="137">
        <v>6207.11</v>
      </c>
      <c r="BC50" s="137">
        <v>17993.54</v>
      </c>
      <c r="BD50" s="137">
        <v>84170.79</v>
      </c>
      <c r="BE50" s="137">
        <v>9832.73</v>
      </c>
      <c r="BF50" s="137">
        <v>23310.94</v>
      </c>
      <c r="BG50" s="137">
        <v>4557.63</v>
      </c>
      <c r="BH50" s="137">
        <v>1556.03</v>
      </c>
      <c r="BI50" s="137">
        <v>1445.62</v>
      </c>
      <c r="BJ50" s="137">
        <v>4673.41</v>
      </c>
      <c r="BK50" s="137">
        <v>204.37</v>
      </c>
      <c r="BL50" s="137">
        <v>4956.3500000000004</v>
      </c>
      <c r="BM50" s="137">
        <v>456103.64999999985</v>
      </c>
      <c r="BN50" s="137" t="s">
        <v>301</v>
      </c>
      <c r="BO50" s="137" t="s">
        <v>301</v>
      </c>
      <c r="BP50" s="137">
        <v>65971.649999999994</v>
      </c>
      <c r="BQ50" s="137" t="s">
        <v>301</v>
      </c>
      <c r="BR50" s="137" t="s">
        <v>301</v>
      </c>
      <c r="BS50" s="137" t="s">
        <v>301</v>
      </c>
      <c r="BT50" s="137">
        <v>319390.78000000003</v>
      </c>
      <c r="BU50" s="137" t="s">
        <v>301</v>
      </c>
      <c r="BV50" s="137" t="s">
        <v>301</v>
      </c>
      <c r="BW50" s="137">
        <v>39260.699999999997</v>
      </c>
    </row>
    <row r="51" spans="1:75" x14ac:dyDescent="0.2">
      <c r="A51" s="137" t="s">
        <v>340</v>
      </c>
      <c r="B51" s="137">
        <v>1505.5</v>
      </c>
      <c r="C51" s="137">
        <v>8.89</v>
      </c>
      <c r="D51" s="137">
        <v>1.6</v>
      </c>
      <c r="E51" s="137">
        <v>15173.08</v>
      </c>
      <c r="F51" s="138">
        <v>3186.27</v>
      </c>
      <c r="G51" s="137">
        <v>303.81</v>
      </c>
      <c r="H51" s="137">
        <v>279.32</v>
      </c>
      <c r="I51" s="137">
        <v>273.88</v>
      </c>
      <c r="J51" s="137">
        <v>343.52</v>
      </c>
      <c r="K51" s="137">
        <v>306.31</v>
      </c>
      <c r="L51" s="137">
        <v>1072.2</v>
      </c>
      <c r="M51" s="137">
        <v>671.7</v>
      </c>
      <c r="N51" s="137">
        <v>1336.69</v>
      </c>
      <c r="O51" s="137">
        <v>1028.1500000000001</v>
      </c>
      <c r="P51" s="137">
        <v>2391.1</v>
      </c>
      <c r="Q51" s="137">
        <v>2499.2800000000002</v>
      </c>
      <c r="R51" s="137">
        <v>734.59</v>
      </c>
      <c r="S51" s="137">
        <v>472.67</v>
      </c>
      <c r="T51" s="137">
        <v>2324.9699999999998</v>
      </c>
      <c r="U51" s="137">
        <v>2014.72</v>
      </c>
      <c r="V51" s="137">
        <v>817.5</v>
      </c>
      <c r="W51" s="137">
        <v>1971.53</v>
      </c>
      <c r="X51" s="137">
        <v>625.14</v>
      </c>
      <c r="Y51" s="137">
        <v>10807.16</v>
      </c>
      <c r="Z51" s="137">
        <v>144.56</v>
      </c>
      <c r="AA51" s="137">
        <v>386.65</v>
      </c>
      <c r="AB51" s="138">
        <v>10546.47</v>
      </c>
      <c r="AC51" s="137">
        <v>6135.62</v>
      </c>
      <c r="AD51" s="137">
        <v>22400.03</v>
      </c>
      <c r="AE51" s="137">
        <v>24263.94</v>
      </c>
      <c r="AF51" s="137">
        <v>28409.759999999998</v>
      </c>
      <c r="AG51" s="137">
        <v>9703.07</v>
      </c>
      <c r="AH51" s="137">
        <v>5721.82</v>
      </c>
      <c r="AI51" s="137">
        <v>4025.99</v>
      </c>
      <c r="AJ51" s="137">
        <v>2479.4499999999998</v>
      </c>
      <c r="AK51" s="137">
        <v>9544.5</v>
      </c>
      <c r="AL51" s="137">
        <v>2544.9299999999998</v>
      </c>
      <c r="AM51" s="137">
        <v>2396.38</v>
      </c>
      <c r="AN51" s="137">
        <v>4956.22</v>
      </c>
      <c r="AO51" s="137">
        <v>7363.9</v>
      </c>
      <c r="AP51" s="137">
        <v>177125.79</v>
      </c>
      <c r="AQ51" s="137">
        <v>111841.51</v>
      </c>
      <c r="AR51" s="137">
        <v>1220.58</v>
      </c>
      <c r="AS51" s="137">
        <v>101835.48</v>
      </c>
      <c r="AT51" s="137">
        <v>77257.69</v>
      </c>
      <c r="AU51" s="137">
        <v>44745.34</v>
      </c>
      <c r="AV51" s="137">
        <v>3556.13</v>
      </c>
      <c r="AW51" s="137">
        <v>3202.02</v>
      </c>
      <c r="AX51" s="137">
        <v>1726.85</v>
      </c>
      <c r="AY51" s="137">
        <v>5114.82</v>
      </c>
      <c r="AZ51" s="137">
        <v>21932.61</v>
      </c>
      <c r="BA51" s="137">
        <v>6295.45</v>
      </c>
      <c r="BB51" s="137">
        <v>4839.09</v>
      </c>
      <c r="BC51" s="137">
        <v>10571.48</v>
      </c>
      <c r="BD51" s="137">
        <v>40645.43</v>
      </c>
      <c r="BE51" s="137">
        <v>6761.9</v>
      </c>
      <c r="BF51" s="137">
        <v>23927.07</v>
      </c>
      <c r="BG51" s="137">
        <v>6722.98</v>
      </c>
      <c r="BH51" s="137">
        <v>1880.49</v>
      </c>
      <c r="BI51" s="137">
        <v>697.85</v>
      </c>
      <c r="BJ51" s="137">
        <v>27844.21</v>
      </c>
      <c r="BK51" s="137">
        <v>101.45</v>
      </c>
      <c r="BL51" s="137">
        <v>1519.81</v>
      </c>
      <c r="BM51" s="137">
        <v>872538.89999999991</v>
      </c>
      <c r="BN51" s="137" t="s">
        <v>301</v>
      </c>
      <c r="BO51" s="137" t="s">
        <v>301</v>
      </c>
      <c r="BP51" s="137">
        <v>554948.39</v>
      </c>
      <c r="BQ51" s="137" t="s">
        <v>301</v>
      </c>
      <c r="BR51" s="137" t="s">
        <v>301</v>
      </c>
      <c r="BS51" s="137" t="s">
        <v>301</v>
      </c>
      <c r="BT51" s="137" t="s">
        <v>301</v>
      </c>
      <c r="BU51" s="137" t="s">
        <v>301</v>
      </c>
      <c r="BV51" s="137" t="s">
        <v>301</v>
      </c>
      <c r="BW51" s="137">
        <v>136390.26</v>
      </c>
    </row>
    <row r="52" spans="1:75" x14ac:dyDescent="0.2">
      <c r="A52" s="137" t="s">
        <v>341</v>
      </c>
      <c r="B52" s="137">
        <v>2009.77</v>
      </c>
      <c r="C52" s="137">
        <v>5.86</v>
      </c>
      <c r="D52" s="137">
        <v>790.11</v>
      </c>
      <c r="E52" s="137">
        <v>18394.63</v>
      </c>
      <c r="F52" s="138">
        <v>875.91</v>
      </c>
      <c r="G52" s="137">
        <v>137.62</v>
      </c>
      <c r="H52" s="137">
        <v>36.67</v>
      </c>
      <c r="I52" s="137">
        <v>67.22</v>
      </c>
      <c r="J52" s="137">
        <v>58.84</v>
      </c>
      <c r="K52" s="137">
        <v>52.93</v>
      </c>
      <c r="L52" s="137">
        <v>672.49</v>
      </c>
      <c r="M52" s="137">
        <v>88.04</v>
      </c>
      <c r="N52" s="137">
        <v>179.43</v>
      </c>
      <c r="O52" s="137">
        <v>364.52</v>
      </c>
      <c r="P52" s="137">
        <v>234.25</v>
      </c>
      <c r="Q52" s="137">
        <v>242.16</v>
      </c>
      <c r="R52" s="137">
        <v>55.43</v>
      </c>
      <c r="S52" s="137">
        <v>211.62</v>
      </c>
      <c r="T52" s="137">
        <v>399.82</v>
      </c>
      <c r="U52" s="137">
        <v>539.84</v>
      </c>
      <c r="V52" s="137">
        <v>948.42</v>
      </c>
      <c r="W52" s="137">
        <v>281.83999999999997</v>
      </c>
      <c r="X52" s="137">
        <v>303.35000000000002</v>
      </c>
      <c r="Y52" s="137">
        <v>457.13</v>
      </c>
      <c r="Z52" s="137">
        <v>21.98</v>
      </c>
      <c r="AA52" s="137">
        <v>1006.1</v>
      </c>
      <c r="AB52" s="138">
        <v>408.19</v>
      </c>
      <c r="AC52" s="137">
        <v>6315.1</v>
      </c>
      <c r="AD52" s="137">
        <v>25621.26</v>
      </c>
      <c r="AE52" s="137">
        <v>6252.81</v>
      </c>
      <c r="AF52" s="137">
        <v>11379.28</v>
      </c>
      <c r="AG52" s="137">
        <v>408.32</v>
      </c>
      <c r="AH52" s="137">
        <v>276.94</v>
      </c>
      <c r="AI52" s="137">
        <v>2177.9499999999998</v>
      </c>
      <c r="AJ52" s="137">
        <v>512.70000000000005</v>
      </c>
      <c r="AK52" s="137">
        <v>5323.41</v>
      </c>
      <c r="AL52" s="137">
        <v>456.28</v>
      </c>
      <c r="AM52" s="137">
        <v>1027.3599999999999</v>
      </c>
      <c r="AN52" s="137">
        <v>900.9</v>
      </c>
      <c r="AO52" s="137">
        <v>1903.96</v>
      </c>
      <c r="AP52" s="137">
        <v>14960.74</v>
      </c>
      <c r="AQ52" s="137">
        <v>52245.24</v>
      </c>
      <c r="AR52" s="137">
        <v>8309</v>
      </c>
      <c r="AS52" s="137">
        <v>10314.64</v>
      </c>
      <c r="AT52" s="137">
        <v>48812.54</v>
      </c>
      <c r="AU52" s="137">
        <v>5742.83</v>
      </c>
      <c r="AV52" s="137">
        <v>2771.31</v>
      </c>
      <c r="AW52" s="137">
        <v>823.9</v>
      </c>
      <c r="AX52" s="137">
        <v>608.91</v>
      </c>
      <c r="AY52" s="137">
        <v>1229.47</v>
      </c>
      <c r="AZ52" s="137">
        <v>3542.95</v>
      </c>
      <c r="BA52" s="137">
        <v>1556.67</v>
      </c>
      <c r="BB52" s="137">
        <v>535.55999999999995</v>
      </c>
      <c r="BC52" s="137">
        <v>5882.91</v>
      </c>
      <c r="BD52" s="137">
        <v>67827.13</v>
      </c>
      <c r="BE52" s="137">
        <v>1552.04</v>
      </c>
      <c r="BF52" s="137">
        <v>82669.16</v>
      </c>
      <c r="BG52" s="137">
        <v>6284.36</v>
      </c>
      <c r="BH52" s="137">
        <v>1541.03</v>
      </c>
      <c r="BI52" s="137">
        <v>1370.55</v>
      </c>
      <c r="BJ52" s="137">
        <v>1423</v>
      </c>
      <c r="BK52" s="137">
        <v>85.69</v>
      </c>
      <c r="BL52" s="137">
        <v>1360.19</v>
      </c>
      <c r="BM52" s="137">
        <v>412850.25999999995</v>
      </c>
      <c r="BN52" s="137" t="s">
        <v>301</v>
      </c>
      <c r="BO52" s="137" t="s">
        <v>301</v>
      </c>
      <c r="BP52" s="137">
        <v>590380.02</v>
      </c>
      <c r="BQ52" s="137" t="s">
        <v>301</v>
      </c>
      <c r="BR52" s="137" t="s">
        <v>301</v>
      </c>
      <c r="BS52" s="137" t="s">
        <v>301</v>
      </c>
      <c r="BT52" s="137">
        <v>9080.6299999999992</v>
      </c>
      <c r="BU52" s="137" t="s">
        <v>301</v>
      </c>
      <c r="BV52" s="137" t="s">
        <v>301</v>
      </c>
      <c r="BW52" s="137">
        <v>19674.900000000001</v>
      </c>
    </row>
    <row r="53" spans="1:75" x14ac:dyDescent="0.2">
      <c r="A53" s="137" t="s">
        <v>342</v>
      </c>
      <c r="B53" s="137">
        <v>359.22</v>
      </c>
      <c r="C53" s="137">
        <v>28.85</v>
      </c>
      <c r="D53" s="137" t="s">
        <v>301</v>
      </c>
      <c r="E53" s="137">
        <v>1282.57</v>
      </c>
      <c r="F53" s="138">
        <v>2108.52</v>
      </c>
      <c r="G53" s="137">
        <v>316.39999999999998</v>
      </c>
      <c r="H53" s="137">
        <v>137.69</v>
      </c>
      <c r="I53" s="137">
        <v>177.45</v>
      </c>
      <c r="J53" s="137">
        <v>18.899999999999999</v>
      </c>
      <c r="K53" s="137">
        <v>105.94</v>
      </c>
      <c r="L53" s="137">
        <v>1035.06</v>
      </c>
      <c r="M53" s="137">
        <v>142.01</v>
      </c>
      <c r="N53" s="137">
        <v>342.58</v>
      </c>
      <c r="O53" s="137">
        <v>589.83000000000004</v>
      </c>
      <c r="P53" s="137">
        <v>433.95</v>
      </c>
      <c r="Q53" s="137">
        <v>454.13</v>
      </c>
      <c r="R53" s="137">
        <v>113.69</v>
      </c>
      <c r="S53" s="137">
        <v>345.97</v>
      </c>
      <c r="T53" s="137">
        <v>748.64</v>
      </c>
      <c r="U53" s="137">
        <v>745.84</v>
      </c>
      <c r="V53" s="137">
        <v>164.31</v>
      </c>
      <c r="W53" s="137">
        <v>527.04999999999995</v>
      </c>
      <c r="X53" s="137">
        <v>64.5</v>
      </c>
      <c r="Y53" s="137">
        <v>557.76</v>
      </c>
      <c r="Z53" s="137">
        <v>39.49</v>
      </c>
      <c r="AA53" s="137">
        <v>93.56</v>
      </c>
      <c r="AB53" s="138">
        <v>44.59</v>
      </c>
      <c r="AC53" s="137">
        <v>822.81</v>
      </c>
      <c r="AD53" s="137">
        <v>2225.67</v>
      </c>
      <c r="AE53" s="137">
        <v>3003.51</v>
      </c>
      <c r="AF53" s="137">
        <v>2074.23</v>
      </c>
      <c r="AG53" s="137">
        <v>91.63</v>
      </c>
      <c r="AH53" s="137">
        <v>29.64</v>
      </c>
      <c r="AI53" s="137">
        <v>1106.3699999999999</v>
      </c>
      <c r="AJ53" s="137">
        <v>30.83</v>
      </c>
      <c r="AK53" s="137">
        <v>183.87</v>
      </c>
      <c r="AL53" s="137">
        <v>81.64</v>
      </c>
      <c r="AM53" s="137">
        <v>792.83</v>
      </c>
      <c r="AN53" s="137">
        <v>1103.24</v>
      </c>
      <c r="AO53" s="137">
        <v>348.42</v>
      </c>
      <c r="AP53" s="137">
        <v>4468.6099999999997</v>
      </c>
      <c r="AQ53" s="137">
        <v>184555.39</v>
      </c>
      <c r="AR53" s="137">
        <v>189327.56</v>
      </c>
      <c r="AS53" s="137">
        <v>23.01</v>
      </c>
      <c r="AT53" s="137">
        <v>420.93</v>
      </c>
      <c r="AU53" s="137">
        <v>694.08</v>
      </c>
      <c r="AV53" s="137">
        <v>134.21</v>
      </c>
      <c r="AW53" s="137">
        <v>161.43</v>
      </c>
      <c r="AX53" s="137">
        <v>128.84</v>
      </c>
      <c r="AY53" s="137">
        <v>380.6</v>
      </c>
      <c r="AZ53" s="137">
        <v>467.82</v>
      </c>
      <c r="BA53" s="137">
        <v>163.11000000000001</v>
      </c>
      <c r="BB53" s="137">
        <v>71.930000000000007</v>
      </c>
      <c r="BC53" s="137">
        <v>1138.29</v>
      </c>
      <c r="BD53" s="137">
        <v>4988.0600000000004</v>
      </c>
      <c r="BE53" s="137">
        <v>1016.97</v>
      </c>
      <c r="BF53" s="137">
        <v>756.31</v>
      </c>
      <c r="BG53" s="137">
        <v>374.28</v>
      </c>
      <c r="BH53" s="137">
        <v>468.93</v>
      </c>
      <c r="BI53" s="137">
        <v>210.07</v>
      </c>
      <c r="BJ53" s="137">
        <v>246.96</v>
      </c>
      <c r="BK53" s="137">
        <v>15.46</v>
      </c>
      <c r="BL53" s="137">
        <v>326.54000000000002</v>
      </c>
      <c r="BM53" s="137">
        <v>413412.58</v>
      </c>
      <c r="BN53" s="137" t="s">
        <v>301</v>
      </c>
      <c r="BO53" s="137" t="s">
        <v>301</v>
      </c>
      <c r="BP53" s="137" t="s">
        <v>301</v>
      </c>
      <c r="BQ53" s="137" t="s">
        <v>301</v>
      </c>
      <c r="BR53" s="137" t="s">
        <v>301</v>
      </c>
      <c r="BS53" s="137" t="s">
        <v>301</v>
      </c>
      <c r="BT53" s="137" t="s">
        <v>301</v>
      </c>
      <c r="BU53" s="137" t="s">
        <v>301</v>
      </c>
      <c r="BV53" s="137" t="s">
        <v>301</v>
      </c>
      <c r="BW53" s="137" t="s">
        <v>301</v>
      </c>
    </row>
    <row r="54" spans="1:75" x14ac:dyDescent="0.2">
      <c r="A54" s="137" t="s">
        <v>343</v>
      </c>
      <c r="B54" s="137">
        <v>16538.18</v>
      </c>
      <c r="C54" s="137" t="s">
        <v>301</v>
      </c>
      <c r="D54" s="137" t="s">
        <v>301</v>
      </c>
      <c r="E54" s="137" t="s">
        <v>301</v>
      </c>
      <c r="F54" s="138" t="s">
        <v>367</v>
      </c>
      <c r="G54" s="137" t="s">
        <v>301</v>
      </c>
      <c r="H54" s="137" t="s">
        <v>301</v>
      </c>
      <c r="I54" s="137" t="s">
        <v>301</v>
      </c>
      <c r="J54" s="137" t="s">
        <v>301</v>
      </c>
      <c r="K54" s="137" t="s">
        <v>301</v>
      </c>
      <c r="L54" s="137" t="s">
        <v>301</v>
      </c>
      <c r="M54" s="137" t="s">
        <v>301</v>
      </c>
      <c r="N54" s="137" t="s">
        <v>301</v>
      </c>
      <c r="O54" s="137" t="s">
        <v>301</v>
      </c>
      <c r="P54" s="137" t="s">
        <v>301</v>
      </c>
      <c r="Q54" s="137" t="s">
        <v>301</v>
      </c>
      <c r="R54" s="137" t="s">
        <v>301</v>
      </c>
      <c r="S54" s="137" t="s">
        <v>301</v>
      </c>
      <c r="T54" s="137" t="s">
        <v>301</v>
      </c>
      <c r="U54" s="137" t="s">
        <v>301</v>
      </c>
      <c r="V54" s="137" t="s">
        <v>301</v>
      </c>
      <c r="W54" s="137" t="s">
        <v>301</v>
      </c>
      <c r="X54" s="137" t="s">
        <v>301</v>
      </c>
      <c r="Y54" s="137" t="s">
        <v>301</v>
      </c>
      <c r="Z54" s="137" t="s">
        <v>301</v>
      </c>
      <c r="AA54" s="137" t="s">
        <v>301</v>
      </c>
      <c r="AB54" s="138" t="s">
        <v>301</v>
      </c>
      <c r="AC54" s="137" t="s">
        <v>301</v>
      </c>
      <c r="AD54" s="137" t="s">
        <v>301</v>
      </c>
      <c r="AE54" s="137" t="s">
        <v>301</v>
      </c>
      <c r="AF54" s="137" t="s">
        <v>301</v>
      </c>
      <c r="AG54" s="137" t="s">
        <v>301</v>
      </c>
      <c r="AH54" s="137" t="s">
        <v>301</v>
      </c>
      <c r="AI54" s="137" t="s">
        <v>301</v>
      </c>
      <c r="AJ54" s="137" t="s">
        <v>301</v>
      </c>
      <c r="AK54" s="137" t="s">
        <v>301</v>
      </c>
      <c r="AL54" s="137" t="s">
        <v>301</v>
      </c>
      <c r="AM54" s="137" t="s">
        <v>301</v>
      </c>
      <c r="AN54" s="137" t="s">
        <v>301</v>
      </c>
      <c r="AO54" s="137" t="s">
        <v>301</v>
      </c>
      <c r="AP54" s="137" t="s">
        <v>301</v>
      </c>
      <c r="AQ54" s="137" t="s">
        <v>301</v>
      </c>
      <c r="AR54" s="137" t="s">
        <v>301</v>
      </c>
      <c r="AS54" s="137" t="s">
        <v>301</v>
      </c>
      <c r="AT54" s="137" t="s">
        <v>301</v>
      </c>
      <c r="AU54" s="137" t="s">
        <v>301</v>
      </c>
      <c r="AV54" s="137" t="s">
        <v>301</v>
      </c>
      <c r="AW54" s="137" t="s">
        <v>301</v>
      </c>
      <c r="AX54" s="137" t="s">
        <v>301</v>
      </c>
      <c r="AY54" s="137" t="s">
        <v>301</v>
      </c>
      <c r="AZ54" s="137" t="s">
        <v>301</v>
      </c>
      <c r="BA54" s="137" t="s">
        <v>301</v>
      </c>
      <c r="BB54" s="137" t="s">
        <v>301</v>
      </c>
      <c r="BC54" s="137" t="s">
        <v>301</v>
      </c>
      <c r="BD54" s="137" t="s">
        <v>301</v>
      </c>
      <c r="BE54" s="137" t="s">
        <v>301</v>
      </c>
      <c r="BF54" s="137" t="s">
        <v>301</v>
      </c>
      <c r="BG54" s="137" t="s">
        <v>301</v>
      </c>
      <c r="BH54" s="137" t="s">
        <v>301</v>
      </c>
      <c r="BI54" s="137" t="s">
        <v>301</v>
      </c>
      <c r="BJ54" s="137" t="s">
        <v>301</v>
      </c>
      <c r="BK54" s="137" t="s">
        <v>301</v>
      </c>
      <c r="BL54" s="137" t="s">
        <v>301</v>
      </c>
      <c r="BM54" s="137">
        <v>16538.18</v>
      </c>
      <c r="BN54" s="137" t="s">
        <v>301</v>
      </c>
      <c r="BO54" s="137" t="s">
        <v>301</v>
      </c>
      <c r="BP54" s="137">
        <v>1607325.85</v>
      </c>
      <c r="BQ54" s="137" t="s">
        <v>301</v>
      </c>
      <c r="BR54" s="137" t="s">
        <v>301</v>
      </c>
      <c r="BS54" s="137" t="s">
        <v>301</v>
      </c>
      <c r="BT54" s="137" t="s">
        <v>301</v>
      </c>
      <c r="BU54" s="137" t="s">
        <v>301</v>
      </c>
      <c r="BV54" s="137" t="s">
        <v>301</v>
      </c>
      <c r="BW54" s="137" t="s">
        <v>301</v>
      </c>
    </row>
    <row r="55" spans="1:75" x14ac:dyDescent="0.2">
      <c r="A55" s="137" t="s">
        <v>344</v>
      </c>
      <c r="B55" s="137">
        <v>6883.64</v>
      </c>
      <c r="C55" s="137">
        <v>81.41</v>
      </c>
      <c r="D55" s="137">
        <v>1.52</v>
      </c>
      <c r="E55" s="137">
        <v>2064.3200000000002</v>
      </c>
      <c r="F55" s="138">
        <v>3798.94</v>
      </c>
      <c r="G55" s="137">
        <v>578.91</v>
      </c>
      <c r="H55" s="137">
        <v>542.54999999999995</v>
      </c>
      <c r="I55" s="137">
        <v>792.78</v>
      </c>
      <c r="J55" s="137">
        <v>1350.72</v>
      </c>
      <c r="K55" s="137">
        <v>40.08</v>
      </c>
      <c r="L55" s="137">
        <v>1004.58</v>
      </c>
      <c r="M55" s="137">
        <v>2608.2800000000002</v>
      </c>
      <c r="N55" s="137">
        <v>1864.83</v>
      </c>
      <c r="O55" s="137">
        <v>776.8</v>
      </c>
      <c r="P55" s="137">
        <v>561.49</v>
      </c>
      <c r="Q55" s="137">
        <v>3878.3</v>
      </c>
      <c r="R55" s="137">
        <v>2936.33</v>
      </c>
      <c r="S55" s="137">
        <v>397.78</v>
      </c>
      <c r="T55" s="137">
        <v>1403.5</v>
      </c>
      <c r="U55" s="137">
        <v>1571.32</v>
      </c>
      <c r="V55" s="137">
        <v>3369</v>
      </c>
      <c r="W55" s="137">
        <v>1934.34</v>
      </c>
      <c r="X55" s="137">
        <v>547.97</v>
      </c>
      <c r="Y55" s="137">
        <v>4836.9399999999996</v>
      </c>
      <c r="Z55" s="137">
        <v>173.49</v>
      </c>
      <c r="AA55" s="137">
        <v>1654.32</v>
      </c>
      <c r="AB55" s="138">
        <v>21547.87</v>
      </c>
      <c r="AC55" s="137">
        <v>25699.7</v>
      </c>
      <c r="AD55" s="137">
        <v>91612.68</v>
      </c>
      <c r="AE55" s="137">
        <v>141330.87</v>
      </c>
      <c r="AF55" s="137">
        <v>8014.62</v>
      </c>
      <c r="AG55" s="137">
        <v>406.83</v>
      </c>
      <c r="AH55" s="137">
        <v>382.94</v>
      </c>
      <c r="AI55" s="137">
        <v>22286.86</v>
      </c>
      <c r="AJ55" s="137">
        <v>2401</v>
      </c>
      <c r="AK55" s="137">
        <v>86874.32</v>
      </c>
      <c r="AL55" s="137">
        <v>5110.22</v>
      </c>
      <c r="AM55" s="137">
        <v>6121.93</v>
      </c>
      <c r="AN55" s="137">
        <v>14122.07</v>
      </c>
      <c r="AO55" s="137">
        <v>16585.11</v>
      </c>
      <c r="AP55" s="137">
        <v>61120.5</v>
      </c>
      <c r="AQ55" s="137">
        <v>46328.639999999999</v>
      </c>
      <c r="AR55" s="137">
        <v>1855.23</v>
      </c>
      <c r="AS55" s="137">
        <v>8215.39</v>
      </c>
      <c r="AT55" s="137">
        <v>121137.31</v>
      </c>
      <c r="AU55" s="137">
        <v>72739.98</v>
      </c>
      <c r="AV55" s="137">
        <v>8685.7199999999993</v>
      </c>
      <c r="AW55" s="137">
        <v>11150.75</v>
      </c>
      <c r="AX55" s="137">
        <v>8931.8799999999992</v>
      </c>
      <c r="AY55" s="137">
        <v>5433.1</v>
      </c>
      <c r="AZ55" s="137">
        <v>10551.21</v>
      </c>
      <c r="BA55" s="137">
        <v>4458.2700000000004</v>
      </c>
      <c r="BB55" s="137">
        <v>1294.3</v>
      </c>
      <c r="BC55" s="137">
        <v>13857</v>
      </c>
      <c r="BD55" s="137">
        <v>41317.120000000003</v>
      </c>
      <c r="BE55" s="137">
        <v>49327.86</v>
      </c>
      <c r="BF55" s="137">
        <v>96209.63</v>
      </c>
      <c r="BG55" s="137">
        <v>45317.41</v>
      </c>
      <c r="BH55" s="137">
        <v>9675.43</v>
      </c>
      <c r="BI55" s="137">
        <v>13581.59</v>
      </c>
      <c r="BJ55" s="137">
        <v>31255.29</v>
      </c>
      <c r="BK55" s="137">
        <v>436.5</v>
      </c>
      <c r="BL55" s="137">
        <v>9629.81</v>
      </c>
      <c r="BM55" s="137">
        <v>1160661.0799999998</v>
      </c>
      <c r="BN55" s="137" t="s">
        <v>301</v>
      </c>
      <c r="BO55" s="137" t="s">
        <v>301</v>
      </c>
      <c r="BP55" s="137">
        <v>519924.86</v>
      </c>
      <c r="BQ55" s="137" t="s">
        <v>301</v>
      </c>
      <c r="BR55" s="137" t="s">
        <v>301</v>
      </c>
      <c r="BS55" s="137" t="s">
        <v>301</v>
      </c>
      <c r="BT55" s="137">
        <v>147403.98000000001</v>
      </c>
      <c r="BU55" s="137" t="s">
        <v>301</v>
      </c>
      <c r="BV55" s="137" t="s">
        <v>301</v>
      </c>
      <c r="BW55" s="137">
        <v>3213.89</v>
      </c>
    </row>
    <row r="56" spans="1:75" x14ac:dyDescent="0.2">
      <c r="A56" s="137" t="s">
        <v>345</v>
      </c>
      <c r="B56" s="137">
        <v>1325.88</v>
      </c>
      <c r="C56" s="137">
        <v>20.59</v>
      </c>
      <c r="D56" s="137">
        <v>1.92</v>
      </c>
      <c r="E56" s="137">
        <v>32436.73</v>
      </c>
      <c r="F56" s="138">
        <v>30435.65</v>
      </c>
      <c r="G56" s="137">
        <v>2844.8</v>
      </c>
      <c r="H56" s="137">
        <v>2647.15</v>
      </c>
      <c r="I56" s="137">
        <v>5173.76</v>
      </c>
      <c r="J56" s="137">
        <v>1984.91</v>
      </c>
      <c r="K56" s="137">
        <v>13585.4</v>
      </c>
      <c r="L56" s="137">
        <v>17541.46</v>
      </c>
      <c r="M56" s="137">
        <v>13122.71</v>
      </c>
      <c r="N56" s="137">
        <v>6284.94</v>
      </c>
      <c r="O56" s="137">
        <v>5062.42</v>
      </c>
      <c r="P56" s="137">
        <v>5244.47</v>
      </c>
      <c r="Q56" s="137">
        <v>17488.21</v>
      </c>
      <c r="R56" s="137">
        <v>15756.37</v>
      </c>
      <c r="S56" s="137">
        <v>2008.87</v>
      </c>
      <c r="T56" s="137">
        <v>20357.8</v>
      </c>
      <c r="U56" s="137">
        <v>17486.57</v>
      </c>
      <c r="V56" s="137">
        <v>12354.52</v>
      </c>
      <c r="W56" s="137">
        <v>7515.6</v>
      </c>
      <c r="X56" s="137">
        <v>1613.44</v>
      </c>
      <c r="Y56" s="137">
        <v>6606.1</v>
      </c>
      <c r="Z56" s="137">
        <v>323.31</v>
      </c>
      <c r="AA56" s="137">
        <v>5078.3900000000003</v>
      </c>
      <c r="AB56" s="138">
        <v>19727.87</v>
      </c>
      <c r="AC56" s="137">
        <v>16447.75</v>
      </c>
      <c r="AD56" s="137">
        <v>133381.57999999999</v>
      </c>
      <c r="AE56" s="137">
        <v>73542.649999999994</v>
      </c>
      <c r="AF56" s="137">
        <v>16303.2</v>
      </c>
      <c r="AG56" s="137">
        <v>2231.88</v>
      </c>
      <c r="AH56" s="137">
        <v>1128.79</v>
      </c>
      <c r="AI56" s="137">
        <v>5801.64</v>
      </c>
      <c r="AJ56" s="137">
        <v>3240.33</v>
      </c>
      <c r="AK56" s="137">
        <v>103212.13</v>
      </c>
      <c r="AL56" s="137">
        <v>17267.349999999999</v>
      </c>
      <c r="AM56" s="137">
        <v>7050.78</v>
      </c>
      <c r="AN56" s="137">
        <v>15024.59</v>
      </c>
      <c r="AO56" s="137">
        <v>37334.29</v>
      </c>
      <c r="AP56" s="137">
        <v>67903.59</v>
      </c>
      <c r="AQ56" s="137">
        <v>64149.31</v>
      </c>
      <c r="AR56" s="137">
        <v>1313.38</v>
      </c>
      <c r="AS56" s="137">
        <v>1789.44</v>
      </c>
      <c r="AT56" s="137">
        <v>30405.17</v>
      </c>
      <c r="AU56" s="137">
        <v>57179.81</v>
      </c>
      <c r="AV56" s="137">
        <v>21993.200000000001</v>
      </c>
      <c r="AW56" s="137">
        <v>20997.27</v>
      </c>
      <c r="AX56" s="137">
        <v>6097.18</v>
      </c>
      <c r="AY56" s="137">
        <v>9392.9500000000007</v>
      </c>
      <c r="AZ56" s="137">
        <v>7382.16</v>
      </c>
      <c r="BA56" s="137">
        <v>45328.07</v>
      </c>
      <c r="BB56" s="137">
        <v>2757.62</v>
      </c>
      <c r="BC56" s="137">
        <v>30495.24</v>
      </c>
      <c r="BD56" s="137">
        <v>31204.47</v>
      </c>
      <c r="BE56" s="137">
        <v>12342.42</v>
      </c>
      <c r="BF56" s="137">
        <v>101200.21</v>
      </c>
      <c r="BG56" s="137">
        <v>17384.21</v>
      </c>
      <c r="BH56" s="137">
        <v>6720.56</v>
      </c>
      <c r="BI56" s="137">
        <v>5451.28</v>
      </c>
      <c r="BJ56" s="137">
        <v>8190.78</v>
      </c>
      <c r="BK56" s="137">
        <v>1158.22</v>
      </c>
      <c r="BL56" s="137">
        <v>6391.83</v>
      </c>
      <c r="BM56" s="137">
        <v>1253225.17</v>
      </c>
      <c r="BN56" s="137" t="s">
        <v>301</v>
      </c>
      <c r="BO56" s="137" t="s">
        <v>301</v>
      </c>
      <c r="BP56" s="137">
        <v>126081.8</v>
      </c>
      <c r="BQ56" s="137" t="s">
        <v>301</v>
      </c>
      <c r="BR56" s="137" t="s">
        <v>301</v>
      </c>
      <c r="BS56" s="137" t="s">
        <v>301</v>
      </c>
      <c r="BT56" s="137">
        <v>24500.66</v>
      </c>
      <c r="BU56" s="137" t="s">
        <v>301</v>
      </c>
      <c r="BV56" s="137" t="s">
        <v>301</v>
      </c>
      <c r="BW56" s="137">
        <v>80070.77</v>
      </c>
    </row>
    <row r="57" spans="1:75" x14ac:dyDescent="0.2">
      <c r="A57" s="137" t="s">
        <v>346</v>
      </c>
      <c r="B57" s="137">
        <v>343.32</v>
      </c>
      <c r="C57" s="137">
        <v>70.739999999999995</v>
      </c>
      <c r="D57" s="137">
        <v>5.15</v>
      </c>
      <c r="E57" s="137">
        <v>13122.35</v>
      </c>
      <c r="F57" s="138">
        <v>2139.34</v>
      </c>
      <c r="G57" s="137">
        <v>303.17</v>
      </c>
      <c r="H57" s="137">
        <v>622.29</v>
      </c>
      <c r="I57" s="137">
        <v>795.86</v>
      </c>
      <c r="J57" s="137">
        <v>549.26</v>
      </c>
      <c r="K57" s="137">
        <v>416.33</v>
      </c>
      <c r="L57" s="137">
        <v>1754.73</v>
      </c>
      <c r="M57" s="137">
        <v>1465.77</v>
      </c>
      <c r="N57" s="137">
        <v>950.06</v>
      </c>
      <c r="O57" s="137">
        <v>738.67</v>
      </c>
      <c r="P57" s="137">
        <v>1289.76</v>
      </c>
      <c r="Q57" s="137">
        <v>1291.52</v>
      </c>
      <c r="R57" s="137">
        <v>1677.13</v>
      </c>
      <c r="S57" s="137">
        <v>293.83999999999997</v>
      </c>
      <c r="T57" s="137">
        <v>1076.3699999999999</v>
      </c>
      <c r="U57" s="137">
        <v>1434.7</v>
      </c>
      <c r="V57" s="137">
        <v>1239.76</v>
      </c>
      <c r="W57" s="137">
        <v>903.69</v>
      </c>
      <c r="X57" s="137">
        <v>62.99</v>
      </c>
      <c r="Y57" s="137">
        <v>1815.54</v>
      </c>
      <c r="Z57" s="137">
        <v>539.15</v>
      </c>
      <c r="AA57" s="137">
        <v>935.46</v>
      </c>
      <c r="AB57" s="138">
        <v>44072.01</v>
      </c>
      <c r="AC57" s="137">
        <v>376.76</v>
      </c>
      <c r="AD57" s="137">
        <v>8120.82</v>
      </c>
      <c r="AE57" s="137">
        <v>2265.64</v>
      </c>
      <c r="AF57" s="137">
        <v>3427.4</v>
      </c>
      <c r="AG57" s="137">
        <v>19.03</v>
      </c>
      <c r="AH57" s="137">
        <v>194.37</v>
      </c>
      <c r="AI57" s="137">
        <v>523.09</v>
      </c>
      <c r="AJ57" s="137">
        <v>112.58</v>
      </c>
      <c r="AK57" s="137">
        <v>1123.3</v>
      </c>
      <c r="AL57" s="137">
        <v>920.96</v>
      </c>
      <c r="AM57" s="137">
        <v>561.70000000000005</v>
      </c>
      <c r="AN57" s="137">
        <v>19326.47</v>
      </c>
      <c r="AO57" s="137">
        <v>8772.77</v>
      </c>
      <c r="AP57" s="137">
        <v>1203.8</v>
      </c>
      <c r="AQ57" s="137">
        <v>1312.93</v>
      </c>
      <c r="AR57" s="137">
        <v>37.119999999999997</v>
      </c>
      <c r="AS57" s="137">
        <v>831.58</v>
      </c>
      <c r="AT57" s="137">
        <v>66210.73</v>
      </c>
      <c r="AU57" s="137">
        <v>4411.54</v>
      </c>
      <c r="AV57" s="137">
        <v>17340.2</v>
      </c>
      <c r="AW57" s="137">
        <v>6379.13</v>
      </c>
      <c r="AX57" s="137">
        <v>125.67</v>
      </c>
      <c r="AY57" s="137">
        <v>2863.65</v>
      </c>
      <c r="AZ57" s="137">
        <v>1554.04</v>
      </c>
      <c r="BA57" s="137">
        <v>899.33</v>
      </c>
      <c r="BB57" s="137">
        <v>710.99</v>
      </c>
      <c r="BC57" s="137">
        <v>5668.57</v>
      </c>
      <c r="BD57" s="137">
        <v>60671.199999999997</v>
      </c>
      <c r="BE57" s="137">
        <v>5894.15</v>
      </c>
      <c r="BF57" s="137">
        <v>3110.83</v>
      </c>
      <c r="BG57" s="137">
        <v>1227.07</v>
      </c>
      <c r="BH57" s="137">
        <v>347.22</v>
      </c>
      <c r="BI57" s="137">
        <v>606.26</v>
      </c>
      <c r="BJ57" s="137">
        <v>1215.53</v>
      </c>
      <c r="BK57" s="137">
        <v>2.0099999999999998</v>
      </c>
      <c r="BL57" s="137">
        <v>212.45</v>
      </c>
      <c r="BM57" s="137">
        <v>308489.85000000003</v>
      </c>
      <c r="BN57" s="137" t="s">
        <v>301</v>
      </c>
      <c r="BO57" s="137" t="s">
        <v>301</v>
      </c>
      <c r="BP57" s="137" t="s">
        <v>301</v>
      </c>
      <c r="BQ57" s="137" t="s">
        <v>301</v>
      </c>
      <c r="BR57" s="137" t="s">
        <v>301</v>
      </c>
      <c r="BS57" s="137" t="s">
        <v>301</v>
      </c>
      <c r="BT57" s="137">
        <v>31520.45</v>
      </c>
      <c r="BU57" s="137" t="s">
        <v>301</v>
      </c>
      <c r="BV57" s="137" t="s">
        <v>301</v>
      </c>
      <c r="BW57" s="137">
        <v>34683.46</v>
      </c>
    </row>
    <row r="58" spans="1:75" x14ac:dyDescent="0.2">
      <c r="A58" s="137" t="s">
        <v>347</v>
      </c>
      <c r="B58" s="137">
        <v>1.74</v>
      </c>
      <c r="C58" s="137" t="s">
        <v>301</v>
      </c>
      <c r="D58" s="137" t="s">
        <v>301</v>
      </c>
      <c r="E58" s="137" t="s">
        <v>301</v>
      </c>
      <c r="F58" s="138">
        <v>70.680000000000007</v>
      </c>
      <c r="G58" s="137">
        <v>3.29</v>
      </c>
      <c r="H58" s="137">
        <v>19.29</v>
      </c>
      <c r="I58" s="137">
        <v>16.64</v>
      </c>
      <c r="J58" s="137">
        <v>16.66</v>
      </c>
      <c r="K58" s="137">
        <v>22.88</v>
      </c>
      <c r="L58" s="137">
        <v>15.88</v>
      </c>
      <c r="M58" s="137">
        <v>1.29</v>
      </c>
      <c r="N58" s="137">
        <v>43.88</v>
      </c>
      <c r="O58" s="137">
        <v>20.92</v>
      </c>
      <c r="P58" s="137">
        <v>27.89</v>
      </c>
      <c r="Q58" s="137">
        <v>48.62</v>
      </c>
      <c r="R58" s="137">
        <v>0.33</v>
      </c>
      <c r="S58" s="137">
        <v>2.4700000000000002</v>
      </c>
      <c r="T58" s="137">
        <v>24.3</v>
      </c>
      <c r="U58" s="137">
        <v>15.24</v>
      </c>
      <c r="V58" s="137">
        <v>18.170000000000002</v>
      </c>
      <c r="W58" s="137">
        <v>43</v>
      </c>
      <c r="X58" s="137" t="s">
        <v>301</v>
      </c>
      <c r="Y58" s="137">
        <v>820.74</v>
      </c>
      <c r="Z58" s="137">
        <v>16.440000000000001</v>
      </c>
      <c r="AA58" s="137">
        <v>55.34</v>
      </c>
      <c r="AB58" s="138">
        <v>8.75</v>
      </c>
      <c r="AC58" s="137">
        <v>6.91</v>
      </c>
      <c r="AD58" s="137">
        <v>0</v>
      </c>
      <c r="AE58" s="137">
        <v>0.27</v>
      </c>
      <c r="AF58" s="137">
        <v>8.57</v>
      </c>
      <c r="AG58" s="137" t="s">
        <v>301</v>
      </c>
      <c r="AH58" s="137" t="s">
        <v>301</v>
      </c>
      <c r="AI58" s="137">
        <v>31.46</v>
      </c>
      <c r="AJ58" s="137" t="s">
        <v>301</v>
      </c>
      <c r="AK58" s="137" t="s">
        <v>301</v>
      </c>
      <c r="AL58" s="137">
        <v>8.91</v>
      </c>
      <c r="AM58" s="137">
        <v>0</v>
      </c>
      <c r="AN58" s="137">
        <v>172.35</v>
      </c>
      <c r="AO58" s="137">
        <v>232.4</v>
      </c>
      <c r="AP58" s="137">
        <v>454.51</v>
      </c>
      <c r="AQ58" s="137" t="s">
        <v>301</v>
      </c>
      <c r="AR58" s="137" t="s">
        <v>301</v>
      </c>
      <c r="AS58" s="137" t="s">
        <v>301</v>
      </c>
      <c r="AT58" s="137" t="s">
        <v>301</v>
      </c>
      <c r="AU58" s="137">
        <v>1053.46</v>
      </c>
      <c r="AV58" s="137">
        <v>271.47000000000003</v>
      </c>
      <c r="AW58" s="137">
        <v>8492.0400000000009</v>
      </c>
      <c r="AX58" s="137" t="s">
        <v>301</v>
      </c>
      <c r="AY58" s="137">
        <v>23.01</v>
      </c>
      <c r="AZ58" s="137" t="s">
        <v>301</v>
      </c>
      <c r="BA58" s="137">
        <v>0.04</v>
      </c>
      <c r="BB58" s="137" t="s">
        <v>301</v>
      </c>
      <c r="BC58" s="137" t="s">
        <v>301</v>
      </c>
      <c r="BD58" s="137">
        <v>1926.5</v>
      </c>
      <c r="BE58" s="137">
        <v>2.65</v>
      </c>
      <c r="BF58" s="137">
        <v>816.77</v>
      </c>
      <c r="BG58" s="137" t="s">
        <v>301</v>
      </c>
      <c r="BH58" s="137">
        <v>0.61</v>
      </c>
      <c r="BI58" s="137" t="s">
        <v>301</v>
      </c>
      <c r="BJ58" s="137">
        <v>153.32</v>
      </c>
      <c r="BK58" s="137" t="s">
        <v>301</v>
      </c>
      <c r="BL58" s="137" t="s">
        <v>301</v>
      </c>
      <c r="BM58" s="137">
        <v>14969.690000000002</v>
      </c>
      <c r="BN58" s="137" t="s">
        <v>301</v>
      </c>
      <c r="BO58" s="137" t="s">
        <v>301</v>
      </c>
      <c r="BP58" s="137">
        <v>6688.17</v>
      </c>
      <c r="BQ58" s="137" t="s">
        <v>301</v>
      </c>
      <c r="BR58" s="137" t="s">
        <v>301</v>
      </c>
      <c r="BS58" s="137" t="s">
        <v>301</v>
      </c>
      <c r="BT58" s="137">
        <v>624190.71</v>
      </c>
      <c r="BU58" s="137" t="s">
        <v>301</v>
      </c>
      <c r="BV58" s="137" t="s">
        <v>301</v>
      </c>
      <c r="BW58" s="137">
        <v>41452.639999999999</v>
      </c>
    </row>
    <row r="59" spans="1:75" x14ac:dyDescent="0.2">
      <c r="A59" s="137" t="s">
        <v>348</v>
      </c>
      <c r="B59" s="137">
        <v>15.69</v>
      </c>
      <c r="C59" s="137">
        <v>2.0099999999999998</v>
      </c>
      <c r="D59" s="137" t="s">
        <v>301</v>
      </c>
      <c r="E59" s="137">
        <v>765.8</v>
      </c>
      <c r="F59" s="138">
        <v>5565.96</v>
      </c>
      <c r="G59" s="137">
        <v>645.69000000000005</v>
      </c>
      <c r="H59" s="137">
        <v>934.83</v>
      </c>
      <c r="I59" s="137">
        <v>930.44</v>
      </c>
      <c r="J59" s="137">
        <v>622.54999999999995</v>
      </c>
      <c r="K59" s="137">
        <v>1040.45</v>
      </c>
      <c r="L59" s="137">
        <v>2139.8200000000002</v>
      </c>
      <c r="M59" s="137">
        <v>2381.92</v>
      </c>
      <c r="N59" s="137">
        <v>1744.1</v>
      </c>
      <c r="O59" s="137">
        <v>755.96</v>
      </c>
      <c r="P59" s="137">
        <v>1689.69</v>
      </c>
      <c r="Q59" s="137">
        <v>3187.11</v>
      </c>
      <c r="R59" s="137">
        <v>663.91</v>
      </c>
      <c r="S59" s="137">
        <v>514.23</v>
      </c>
      <c r="T59" s="137">
        <v>1782.93</v>
      </c>
      <c r="U59" s="137">
        <v>1013.75</v>
      </c>
      <c r="V59" s="137">
        <v>608.44000000000005</v>
      </c>
      <c r="W59" s="137">
        <v>2393.33</v>
      </c>
      <c r="X59" s="137">
        <v>47.32</v>
      </c>
      <c r="Y59" s="137">
        <v>1997.02</v>
      </c>
      <c r="Z59" s="137">
        <v>26.94</v>
      </c>
      <c r="AA59" s="137">
        <v>267.31</v>
      </c>
      <c r="AB59" s="138">
        <v>4563.13</v>
      </c>
      <c r="AC59" s="137">
        <v>31048.01</v>
      </c>
      <c r="AD59" s="137">
        <v>49139.53</v>
      </c>
      <c r="AE59" s="137">
        <v>64334.400000000001</v>
      </c>
      <c r="AF59" s="137">
        <v>1054.07</v>
      </c>
      <c r="AG59" s="137">
        <v>955.77</v>
      </c>
      <c r="AH59" s="137">
        <v>375.14</v>
      </c>
      <c r="AI59" s="137">
        <v>668.42</v>
      </c>
      <c r="AJ59" s="137">
        <v>292.13</v>
      </c>
      <c r="AK59" s="137">
        <v>31044.85</v>
      </c>
      <c r="AL59" s="137">
        <v>7019.55</v>
      </c>
      <c r="AM59" s="137">
        <v>14862.92</v>
      </c>
      <c r="AN59" s="137">
        <v>13058.98</v>
      </c>
      <c r="AO59" s="137">
        <v>21773.53</v>
      </c>
      <c r="AP59" s="137">
        <v>35201.25</v>
      </c>
      <c r="AQ59" s="137">
        <v>8181.29</v>
      </c>
      <c r="AR59" s="137">
        <v>617.02</v>
      </c>
      <c r="AS59" s="137" t="s">
        <v>301</v>
      </c>
      <c r="AT59" s="137">
        <v>19567.64</v>
      </c>
      <c r="AU59" s="137">
        <v>38343.18</v>
      </c>
      <c r="AV59" s="137">
        <v>1051.5899999999999</v>
      </c>
      <c r="AW59" s="137">
        <v>6867.84</v>
      </c>
      <c r="AX59" s="137">
        <v>7143.21</v>
      </c>
      <c r="AY59" s="137">
        <v>1249.32</v>
      </c>
      <c r="AZ59" s="137">
        <v>6451.09</v>
      </c>
      <c r="BA59" s="137">
        <v>3468.9</v>
      </c>
      <c r="BB59" s="137">
        <v>5419.56</v>
      </c>
      <c r="BC59" s="137">
        <v>6828.63</v>
      </c>
      <c r="BD59" s="137">
        <v>11464.02</v>
      </c>
      <c r="BE59" s="137">
        <v>3375.26</v>
      </c>
      <c r="BF59" s="137">
        <v>11906.57</v>
      </c>
      <c r="BG59" s="137">
        <v>1467.84</v>
      </c>
      <c r="BH59" s="137">
        <v>2506.5</v>
      </c>
      <c r="BI59" s="137">
        <v>2300.87</v>
      </c>
      <c r="BJ59" s="137">
        <v>5071.91</v>
      </c>
      <c r="BK59" s="137">
        <v>125.48</v>
      </c>
      <c r="BL59" s="137">
        <v>1703.54</v>
      </c>
      <c r="BM59" s="137">
        <v>452240.14000000013</v>
      </c>
      <c r="BN59" s="137" t="s">
        <v>301</v>
      </c>
      <c r="BO59" s="137" t="s">
        <v>301</v>
      </c>
      <c r="BP59" s="137">
        <v>1438.43</v>
      </c>
      <c r="BQ59" s="137" t="s">
        <v>301</v>
      </c>
      <c r="BR59" s="137" t="s">
        <v>301</v>
      </c>
      <c r="BS59" s="137" t="s">
        <v>301</v>
      </c>
      <c r="BT59" s="137" t="s">
        <v>301</v>
      </c>
      <c r="BU59" s="137" t="s">
        <v>301</v>
      </c>
      <c r="BV59" s="137" t="s">
        <v>301</v>
      </c>
      <c r="BW59" s="137">
        <v>28395.78</v>
      </c>
    </row>
    <row r="60" spans="1:75" x14ac:dyDescent="0.2">
      <c r="A60" s="137" t="s">
        <v>349</v>
      </c>
      <c r="B60" s="137">
        <v>841.04</v>
      </c>
      <c r="C60" s="137">
        <v>0.17</v>
      </c>
      <c r="D60" s="137" t="s">
        <v>301</v>
      </c>
      <c r="E60" s="137">
        <v>1946.32</v>
      </c>
      <c r="F60" s="138">
        <v>2334.65</v>
      </c>
      <c r="G60" s="137">
        <v>305.14</v>
      </c>
      <c r="H60" s="137">
        <v>150.76</v>
      </c>
      <c r="I60" s="137">
        <v>375.25</v>
      </c>
      <c r="J60" s="137">
        <v>263.48</v>
      </c>
      <c r="K60" s="137">
        <v>681.18</v>
      </c>
      <c r="L60" s="137">
        <v>1160.56</v>
      </c>
      <c r="M60" s="137">
        <v>1016.51</v>
      </c>
      <c r="N60" s="137">
        <v>1453.92</v>
      </c>
      <c r="O60" s="137">
        <v>916.69</v>
      </c>
      <c r="P60" s="137">
        <v>1355.47</v>
      </c>
      <c r="Q60" s="137">
        <v>1756.4</v>
      </c>
      <c r="R60" s="137">
        <v>1057.1400000000001</v>
      </c>
      <c r="S60" s="137">
        <v>281.95</v>
      </c>
      <c r="T60" s="137">
        <v>1295.45</v>
      </c>
      <c r="U60" s="137">
        <v>1383.58</v>
      </c>
      <c r="V60" s="137">
        <v>1116.2</v>
      </c>
      <c r="W60" s="137">
        <v>1527.98</v>
      </c>
      <c r="X60" s="137">
        <v>148.13</v>
      </c>
      <c r="Y60" s="137">
        <v>6452.15</v>
      </c>
      <c r="Z60" s="137">
        <v>78.91</v>
      </c>
      <c r="AA60" s="137">
        <v>308.44</v>
      </c>
      <c r="AB60" s="138">
        <v>1150.3699999999999</v>
      </c>
      <c r="AC60" s="137">
        <v>1120.6300000000001</v>
      </c>
      <c r="AD60" s="137">
        <v>9049.4</v>
      </c>
      <c r="AE60" s="137">
        <v>4940.28</v>
      </c>
      <c r="AF60" s="137">
        <v>3862.8</v>
      </c>
      <c r="AG60" s="137">
        <v>67.760000000000005</v>
      </c>
      <c r="AH60" s="137">
        <v>371.6</v>
      </c>
      <c r="AI60" s="137">
        <v>836.93</v>
      </c>
      <c r="AJ60" s="137">
        <v>271.69</v>
      </c>
      <c r="AK60" s="137">
        <v>2072.8000000000002</v>
      </c>
      <c r="AL60" s="137">
        <v>3665.35</v>
      </c>
      <c r="AM60" s="137">
        <v>3924.78</v>
      </c>
      <c r="AN60" s="137">
        <v>6746.04</v>
      </c>
      <c r="AO60" s="137">
        <v>8094.44</v>
      </c>
      <c r="AP60" s="137">
        <v>21790.53</v>
      </c>
      <c r="AQ60" s="137">
        <v>2641.86</v>
      </c>
      <c r="AR60" s="137">
        <v>162.80000000000001</v>
      </c>
      <c r="AS60" s="137">
        <v>0.55000000000000004</v>
      </c>
      <c r="AT60" s="137">
        <v>7512.15</v>
      </c>
      <c r="AU60" s="137">
        <v>9198.65</v>
      </c>
      <c r="AV60" s="137">
        <v>9864.3799999999992</v>
      </c>
      <c r="AW60" s="137">
        <v>6042.84</v>
      </c>
      <c r="AX60" s="137">
        <v>5037.43</v>
      </c>
      <c r="AY60" s="137">
        <v>2655.64</v>
      </c>
      <c r="AZ60" s="137">
        <v>859.67</v>
      </c>
      <c r="BA60" s="137">
        <v>2239.13</v>
      </c>
      <c r="BB60" s="137">
        <v>559.76</v>
      </c>
      <c r="BC60" s="137">
        <v>3656.71</v>
      </c>
      <c r="BD60" s="137">
        <v>12261.45</v>
      </c>
      <c r="BE60" s="137">
        <v>3626.14</v>
      </c>
      <c r="BF60" s="137">
        <v>12656.32</v>
      </c>
      <c r="BG60" s="137">
        <v>2629.72</v>
      </c>
      <c r="BH60" s="137">
        <v>701.92</v>
      </c>
      <c r="BI60" s="137">
        <v>319.95999999999998</v>
      </c>
      <c r="BJ60" s="137">
        <v>2195.52</v>
      </c>
      <c r="BK60" s="137">
        <v>66.37</v>
      </c>
      <c r="BL60" s="137">
        <v>833.34</v>
      </c>
      <c r="BM60" s="137">
        <v>181895.18000000005</v>
      </c>
      <c r="BN60" s="137" t="s">
        <v>301</v>
      </c>
      <c r="BO60" s="137" t="s">
        <v>301</v>
      </c>
      <c r="BP60" s="137">
        <v>48498.41</v>
      </c>
      <c r="BQ60" s="137" t="s">
        <v>301</v>
      </c>
      <c r="BR60" s="137" t="s">
        <v>301</v>
      </c>
      <c r="BS60" s="137" t="s">
        <v>301</v>
      </c>
      <c r="BT60" s="137">
        <v>1293.32</v>
      </c>
      <c r="BU60" s="137" t="s">
        <v>301</v>
      </c>
      <c r="BV60" s="137" t="s">
        <v>301</v>
      </c>
      <c r="BW60" s="137">
        <v>802.3</v>
      </c>
    </row>
    <row r="61" spans="1:75" x14ac:dyDescent="0.2">
      <c r="A61" s="137" t="s">
        <v>350</v>
      </c>
      <c r="B61" s="137">
        <v>3406.04</v>
      </c>
      <c r="C61" s="137">
        <v>120.85</v>
      </c>
      <c r="D61" s="137" t="s">
        <v>301</v>
      </c>
      <c r="E61" s="137">
        <v>12210.43</v>
      </c>
      <c r="F61" s="138">
        <v>4088.21</v>
      </c>
      <c r="G61" s="137">
        <v>211.35</v>
      </c>
      <c r="H61" s="137">
        <v>281.77</v>
      </c>
      <c r="I61" s="137">
        <v>836.26</v>
      </c>
      <c r="J61" s="137">
        <v>551.41999999999996</v>
      </c>
      <c r="K61" s="137">
        <v>1105</v>
      </c>
      <c r="L61" s="137">
        <v>4667.76</v>
      </c>
      <c r="M61" s="137">
        <v>481.28</v>
      </c>
      <c r="N61" s="137">
        <v>976.04</v>
      </c>
      <c r="O61" s="137">
        <v>1103.3499999999999</v>
      </c>
      <c r="P61" s="137">
        <v>1103.8499999999999</v>
      </c>
      <c r="Q61" s="137">
        <v>2242.5100000000002</v>
      </c>
      <c r="R61" s="137">
        <v>295.63</v>
      </c>
      <c r="S61" s="137">
        <v>482.67</v>
      </c>
      <c r="T61" s="137">
        <v>1883.79</v>
      </c>
      <c r="U61" s="137">
        <v>1621.27</v>
      </c>
      <c r="V61" s="137">
        <v>984.45</v>
      </c>
      <c r="W61" s="137">
        <v>1194.6099999999999</v>
      </c>
      <c r="X61" s="137">
        <v>191.63</v>
      </c>
      <c r="Y61" s="137">
        <v>1334.67</v>
      </c>
      <c r="Z61" s="137">
        <v>60.16</v>
      </c>
      <c r="AA61" s="137">
        <v>1570.91</v>
      </c>
      <c r="AB61" s="138">
        <v>21926.21</v>
      </c>
      <c r="AC61" s="137">
        <v>4206.47</v>
      </c>
      <c r="AD61" s="137">
        <v>31100.47</v>
      </c>
      <c r="AE61" s="137">
        <v>15451.03</v>
      </c>
      <c r="AF61" s="137">
        <v>17339.080000000002</v>
      </c>
      <c r="AG61" s="137">
        <v>427.95</v>
      </c>
      <c r="AH61" s="137">
        <v>8900.7199999999993</v>
      </c>
      <c r="AI61" s="137">
        <v>1766.84</v>
      </c>
      <c r="AJ61" s="137">
        <v>1293.23</v>
      </c>
      <c r="AK61" s="137">
        <v>11711.28</v>
      </c>
      <c r="AL61" s="137">
        <v>2729.86</v>
      </c>
      <c r="AM61" s="137">
        <v>6287.1</v>
      </c>
      <c r="AN61" s="137">
        <v>8227.52</v>
      </c>
      <c r="AO61" s="137">
        <v>10691.98</v>
      </c>
      <c r="AP61" s="137">
        <v>14251.28</v>
      </c>
      <c r="AQ61" s="137">
        <v>4598.1000000000004</v>
      </c>
      <c r="AR61" s="137">
        <v>440.67</v>
      </c>
      <c r="AS61" s="137">
        <v>68.97</v>
      </c>
      <c r="AT61" s="137">
        <v>2587.16</v>
      </c>
      <c r="AU61" s="137">
        <v>30778.49</v>
      </c>
      <c r="AV61" s="137">
        <v>2658.89</v>
      </c>
      <c r="AW61" s="137">
        <v>3060.86</v>
      </c>
      <c r="AX61" s="137">
        <v>3171.12</v>
      </c>
      <c r="AY61" s="137">
        <v>2360.5700000000002</v>
      </c>
      <c r="AZ61" s="137">
        <v>6523.01</v>
      </c>
      <c r="BA61" s="137">
        <v>2334.35</v>
      </c>
      <c r="BB61" s="137">
        <v>1350.38</v>
      </c>
      <c r="BC61" s="137">
        <v>4574.83</v>
      </c>
      <c r="BD61" s="137">
        <v>7567.88</v>
      </c>
      <c r="BE61" s="137">
        <v>4209.6499999999996</v>
      </c>
      <c r="BF61" s="137">
        <v>10699.75</v>
      </c>
      <c r="BG61" s="137">
        <v>1149.71</v>
      </c>
      <c r="BH61" s="137">
        <v>2214.5</v>
      </c>
      <c r="BI61" s="137">
        <v>1298.05</v>
      </c>
      <c r="BJ61" s="137">
        <v>430.32</v>
      </c>
      <c r="BK61" s="137">
        <v>53.79</v>
      </c>
      <c r="BL61" s="137">
        <v>947.52</v>
      </c>
      <c r="BM61" s="137">
        <v>292395.50000000006</v>
      </c>
      <c r="BN61" s="137" t="s">
        <v>301</v>
      </c>
      <c r="BO61" s="137" t="s">
        <v>301</v>
      </c>
      <c r="BP61" s="137">
        <v>111460.46</v>
      </c>
      <c r="BQ61" s="137" t="s">
        <v>301</v>
      </c>
      <c r="BR61" s="137" t="s">
        <v>301</v>
      </c>
      <c r="BS61" s="137" t="s">
        <v>301</v>
      </c>
      <c r="BT61" s="137" t="s">
        <v>301</v>
      </c>
      <c r="BU61" s="137" t="s">
        <v>301</v>
      </c>
      <c r="BV61" s="137" t="s">
        <v>301</v>
      </c>
      <c r="BW61" s="137">
        <v>76600.820000000007</v>
      </c>
    </row>
    <row r="62" spans="1:75" x14ac:dyDescent="0.2">
      <c r="A62" s="137" t="s">
        <v>351</v>
      </c>
      <c r="B62" s="137">
        <v>12.49</v>
      </c>
      <c r="C62" s="137" t="s">
        <v>301</v>
      </c>
      <c r="D62" s="137" t="s">
        <v>301</v>
      </c>
      <c r="E62" s="137">
        <v>314.54000000000002</v>
      </c>
      <c r="F62" s="138">
        <v>1010.81</v>
      </c>
      <c r="G62" s="137">
        <v>245.26</v>
      </c>
      <c r="H62" s="137">
        <v>105.5</v>
      </c>
      <c r="I62" s="137">
        <v>240.11</v>
      </c>
      <c r="J62" s="137">
        <v>1010.18</v>
      </c>
      <c r="K62" s="137">
        <v>878.02</v>
      </c>
      <c r="L62" s="137">
        <v>853.34</v>
      </c>
      <c r="M62" s="137">
        <v>1469.38</v>
      </c>
      <c r="N62" s="137">
        <v>463.32</v>
      </c>
      <c r="O62" s="137">
        <v>378.49</v>
      </c>
      <c r="P62" s="137">
        <v>1061.08</v>
      </c>
      <c r="Q62" s="137">
        <v>2614.71</v>
      </c>
      <c r="R62" s="137">
        <v>1823.4</v>
      </c>
      <c r="S62" s="137">
        <v>185.26</v>
      </c>
      <c r="T62" s="137">
        <v>869.02</v>
      </c>
      <c r="U62" s="137">
        <v>1679.16</v>
      </c>
      <c r="V62" s="137">
        <v>1697.83</v>
      </c>
      <c r="W62" s="137">
        <v>763.8</v>
      </c>
      <c r="X62" s="137">
        <v>487.14</v>
      </c>
      <c r="Y62" s="137">
        <v>17156.009999999998</v>
      </c>
      <c r="Z62" s="137">
        <v>57.09</v>
      </c>
      <c r="AA62" s="137">
        <v>2407.21</v>
      </c>
      <c r="AB62" s="138">
        <v>3506.21</v>
      </c>
      <c r="AC62" s="137">
        <v>5078.29</v>
      </c>
      <c r="AD62" s="137">
        <v>26854.5</v>
      </c>
      <c r="AE62" s="137">
        <v>15980.59</v>
      </c>
      <c r="AF62" s="137">
        <v>10146.280000000001</v>
      </c>
      <c r="AG62" s="137">
        <v>370.81</v>
      </c>
      <c r="AH62" s="137">
        <v>242.19</v>
      </c>
      <c r="AI62" s="137">
        <v>5255.61</v>
      </c>
      <c r="AJ62" s="137">
        <v>2056.9</v>
      </c>
      <c r="AK62" s="137">
        <v>10074.280000000001</v>
      </c>
      <c r="AL62" s="137">
        <v>13819.04</v>
      </c>
      <c r="AM62" s="137">
        <v>2304.4</v>
      </c>
      <c r="AN62" s="137">
        <v>19187.45</v>
      </c>
      <c r="AO62" s="137">
        <v>45504.76</v>
      </c>
      <c r="AP62" s="137">
        <v>26320.83</v>
      </c>
      <c r="AQ62" s="137">
        <v>479.29</v>
      </c>
      <c r="AR62" s="137">
        <v>883.94</v>
      </c>
      <c r="AS62" s="137">
        <v>2554.77</v>
      </c>
      <c r="AT62" s="137">
        <v>17212.599999999999</v>
      </c>
      <c r="AU62" s="137">
        <v>14848.71</v>
      </c>
      <c r="AV62" s="137">
        <v>13576.59</v>
      </c>
      <c r="AW62" s="137">
        <v>6135.19</v>
      </c>
      <c r="AX62" s="137">
        <v>2627.82</v>
      </c>
      <c r="AY62" s="137">
        <v>6037.55</v>
      </c>
      <c r="AZ62" s="137">
        <v>3257.09</v>
      </c>
      <c r="BA62" s="137">
        <v>25559.67</v>
      </c>
      <c r="BB62" s="137">
        <v>854.58</v>
      </c>
      <c r="BC62" s="137">
        <v>16102.13</v>
      </c>
      <c r="BD62" s="137">
        <v>7617.04</v>
      </c>
      <c r="BE62" s="137">
        <v>4248.97</v>
      </c>
      <c r="BF62" s="137">
        <v>55755.28</v>
      </c>
      <c r="BG62" s="137">
        <v>9416.9599999999991</v>
      </c>
      <c r="BH62" s="137">
        <v>1923.14</v>
      </c>
      <c r="BI62" s="137">
        <v>1112.72</v>
      </c>
      <c r="BJ62" s="137">
        <v>1616.08</v>
      </c>
      <c r="BK62" s="137">
        <v>462.89</v>
      </c>
      <c r="BL62" s="137">
        <v>1093.27</v>
      </c>
      <c r="BM62" s="137">
        <v>417861.57000000007</v>
      </c>
      <c r="BN62" s="137" t="s">
        <v>301</v>
      </c>
      <c r="BO62" s="137" t="s">
        <v>301</v>
      </c>
      <c r="BP62" s="137">
        <v>1777.42</v>
      </c>
      <c r="BQ62" s="137" t="s">
        <v>301</v>
      </c>
      <c r="BR62" s="137" t="s">
        <v>301</v>
      </c>
      <c r="BS62" s="137" t="s">
        <v>301</v>
      </c>
      <c r="BT62" s="137" t="s">
        <v>301</v>
      </c>
      <c r="BU62" s="137" t="s">
        <v>301</v>
      </c>
      <c r="BV62" s="137" t="s">
        <v>301</v>
      </c>
      <c r="BW62" s="137">
        <v>1059.78</v>
      </c>
    </row>
    <row r="63" spans="1:75" x14ac:dyDescent="0.2">
      <c r="A63" s="137" t="s">
        <v>352</v>
      </c>
      <c r="B63" s="137">
        <v>13.54</v>
      </c>
      <c r="C63" s="137">
        <v>1.59</v>
      </c>
      <c r="D63" s="137" t="s">
        <v>301</v>
      </c>
      <c r="E63" s="137">
        <v>228.3</v>
      </c>
      <c r="F63" s="138">
        <v>22.75</v>
      </c>
      <c r="G63" s="137" t="s">
        <v>301</v>
      </c>
      <c r="H63" s="137">
        <v>6.5</v>
      </c>
      <c r="I63" s="137">
        <v>1.3</v>
      </c>
      <c r="J63" s="137">
        <v>4.34</v>
      </c>
      <c r="K63" s="137" t="s">
        <v>301</v>
      </c>
      <c r="L63" s="137" t="s">
        <v>301</v>
      </c>
      <c r="M63" s="137" t="s">
        <v>301</v>
      </c>
      <c r="N63" s="137">
        <v>18.28</v>
      </c>
      <c r="O63" s="137">
        <v>1.1200000000000001</v>
      </c>
      <c r="P63" s="137">
        <v>0</v>
      </c>
      <c r="Q63" s="137">
        <v>22.72</v>
      </c>
      <c r="R63" s="137">
        <v>0.56999999999999995</v>
      </c>
      <c r="S63" s="137" t="s">
        <v>301</v>
      </c>
      <c r="T63" s="137">
        <v>2.57</v>
      </c>
      <c r="U63" s="137">
        <v>0</v>
      </c>
      <c r="V63" s="137">
        <v>10.3</v>
      </c>
      <c r="W63" s="137">
        <v>21.29</v>
      </c>
      <c r="X63" s="137">
        <v>0</v>
      </c>
      <c r="Y63" s="137">
        <v>240.95</v>
      </c>
      <c r="Z63" s="137">
        <v>14.1</v>
      </c>
      <c r="AA63" s="137">
        <v>129.66</v>
      </c>
      <c r="AB63" s="138">
        <v>32.700000000000003</v>
      </c>
      <c r="AC63" s="137">
        <v>185.39</v>
      </c>
      <c r="AD63" s="137">
        <v>439.95</v>
      </c>
      <c r="AE63" s="137">
        <v>407.77</v>
      </c>
      <c r="AF63" s="137">
        <v>2388.21</v>
      </c>
      <c r="AG63" s="137">
        <v>5659.95</v>
      </c>
      <c r="AH63" s="137">
        <v>2947.31</v>
      </c>
      <c r="AI63" s="137">
        <v>102.17</v>
      </c>
      <c r="AJ63" s="137">
        <v>243.57</v>
      </c>
      <c r="AK63" s="137">
        <v>439.02</v>
      </c>
      <c r="AL63" s="137">
        <v>134.36000000000001</v>
      </c>
      <c r="AM63" s="137">
        <v>33.619999999999997</v>
      </c>
      <c r="AN63" s="137">
        <v>105.92</v>
      </c>
      <c r="AO63" s="137">
        <v>93.23</v>
      </c>
      <c r="AP63" s="137">
        <v>26.27</v>
      </c>
      <c r="AQ63" s="137">
        <v>4415.45</v>
      </c>
      <c r="AR63" s="137">
        <v>2.08</v>
      </c>
      <c r="AS63" s="137">
        <v>0</v>
      </c>
      <c r="AT63" s="137">
        <v>714.91</v>
      </c>
      <c r="AU63" s="137">
        <v>4677.9799999999996</v>
      </c>
      <c r="AV63" s="137">
        <v>145.02000000000001</v>
      </c>
      <c r="AW63" s="137">
        <v>875.28</v>
      </c>
      <c r="AX63" s="137">
        <v>410.74</v>
      </c>
      <c r="AY63" s="137">
        <v>260.63</v>
      </c>
      <c r="AZ63" s="137">
        <v>723.21</v>
      </c>
      <c r="BA63" s="137">
        <v>212.35</v>
      </c>
      <c r="BB63" s="137">
        <v>547.82000000000005</v>
      </c>
      <c r="BC63" s="137">
        <v>1306.3</v>
      </c>
      <c r="BD63" s="137">
        <v>3638.5</v>
      </c>
      <c r="BE63" s="137">
        <v>119.27</v>
      </c>
      <c r="BF63" s="137">
        <v>1561.7</v>
      </c>
      <c r="BG63" s="137">
        <v>101.17</v>
      </c>
      <c r="BH63" s="137">
        <v>409.21</v>
      </c>
      <c r="BI63" s="137">
        <v>442.93</v>
      </c>
      <c r="BJ63" s="137">
        <v>1062.6600000000001</v>
      </c>
      <c r="BK63" s="137" t="s">
        <v>301</v>
      </c>
      <c r="BL63" s="137">
        <v>97.96</v>
      </c>
      <c r="BM63" s="137">
        <v>35704.49</v>
      </c>
      <c r="BN63" s="137" t="s">
        <v>301</v>
      </c>
      <c r="BO63" s="137" t="s">
        <v>301</v>
      </c>
      <c r="BP63" s="137">
        <v>25325.86</v>
      </c>
      <c r="BQ63" s="137" t="s">
        <v>301</v>
      </c>
      <c r="BR63" s="137" t="s">
        <v>301</v>
      </c>
      <c r="BS63" s="137" t="s">
        <v>301</v>
      </c>
      <c r="BT63" s="137" t="s">
        <v>301</v>
      </c>
      <c r="BU63" s="137" t="s">
        <v>301</v>
      </c>
      <c r="BV63" s="137" t="s">
        <v>301</v>
      </c>
      <c r="BW63" s="137">
        <v>654.67999999999995</v>
      </c>
    </row>
    <row r="64" spans="1:75" x14ac:dyDescent="0.2">
      <c r="A64" s="137" t="s">
        <v>353</v>
      </c>
      <c r="B64" s="137">
        <v>644.54</v>
      </c>
      <c r="C64" s="137">
        <v>8.1300000000000008</v>
      </c>
      <c r="D64" s="137">
        <v>2.65</v>
      </c>
      <c r="E64" s="137">
        <v>3597.6</v>
      </c>
      <c r="F64" s="138">
        <v>3315.55</v>
      </c>
      <c r="G64" s="137">
        <v>532.99</v>
      </c>
      <c r="H64" s="137">
        <v>637.59</v>
      </c>
      <c r="I64" s="137">
        <v>1429.79</v>
      </c>
      <c r="J64" s="137">
        <v>1724.23</v>
      </c>
      <c r="K64" s="137">
        <v>2418.9699999999998</v>
      </c>
      <c r="L64" s="137">
        <v>3174.31</v>
      </c>
      <c r="M64" s="137">
        <v>485.98</v>
      </c>
      <c r="N64" s="137">
        <v>1655.04</v>
      </c>
      <c r="O64" s="137">
        <v>1333.39</v>
      </c>
      <c r="P64" s="137">
        <v>2655.56</v>
      </c>
      <c r="Q64" s="137">
        <v>4625.96</v>
      </c>
      <c r="R64" s="137">
        <v>428.94</v>
      </c>
      <c r="S64" s="137">
        <v>306.95999999999998</v>
      </c>
      <c r="T64" s="137">
        <v>1622.65</v>
      </c>
      <c r="U64" s="137">
        <v>1682.26</v>
      </c>
      <c r="V64" s="137">
        <v>2375.25</v>
      </c>
      <c r="W64" s="137">
        <v>1056.68</v>
      </c>
      <c r="X64" s="137">
        <v>358.44</v>
      </c>
      <c r="Y64" s="137">
        <v>2268.3200000000002</v>
      </c>
      <c r="Z64" s="137">
        <v>33.549999999999997</v>
      </c>
      <c r="AA64" s="137">
        <v>1691.66</v>
      </c>
      <c r="AB64" s="138">
        <v>6537.15</v>
      </c>
      <c r="AC64" s="137">
        <v>6490.2</v>
      </c>
      <c r="AD64" s="137">
        <v>43719.14</v>
      </c>
      <c r="AE64" s="137">
        <v>22708.36</v>
      </c>
      <c r="AF64" s="137">
        <v>12649.86</v>
      </c>
      <c r="AG64" s="137">
        <v>1818.58</v>
      </c>
      <c r="AH64" s="137">
        <v>3348.78</v>
      </c>
      <c r="AI64" s="137">
        <v>6340.82</v>
      </c>
      <c r="AJ64" s="137">
        <v>1363.49</v>
      </c>
      <c r="AK64" s="137">
        <v>11685.3</v>
      </c>
      <c r="AL64" s="137">
        <v>5826.74</v>
      </c>
      <c r="AM64" s="137">
        <v>1206.6600000000001</v>
      </c>
      <c r="AN64" s="137">
        <v>7417.72</v>
      </c>
      <c r="AO64" s="137">
        <v>16606.91</v>
      </c>
      <c r="AP64" s="137">
        <v>12865.17</v>
      </c>
      <c r="AQ64" s="137">
        <v>6873.84</v>
      </c>
      <c r="AR64" s="137">
        <v>664.97</v>
      </c>
      <c r="AS64" s="137">
        <v>1764.05</v>
      </c>
      <c r="AT64" s="137">
        <v>100585.11</v>
      </c>
      <c r="AU64" s="137">
        <v>17327.46</v>
      </c>
      <c r="AV64" s="137">
        <v>6915.63</v>
      </c>
      <c r="AW64" s="137">
        <v>4718.7</v>
      </c>
      <c r="AX64" s="137">
        <v>2186.2399999999998</v>
      </c>
      <c r="AY64" s="137">
        <v>2709.13</v>
      </c>
      <c r="AZ64" s="137">
        <v>11506.52</v>
      </c>
      <c r="BA64" s="137">
        <v>11057.55</v>
      </c>
      <c r="BB64" s="137">
        <v>1005.3</v>
      </c>
      <c r="BC64" s="137">
        <v>11445.08</v>
      </c>
      <c r="BD64" s="137">
        <v>44751.33</v>
      </c>
      <c r="BE64" s="137">
        <v>6422.98</v>
      </c>
      <c r="BF64" s="137">
        <v>31812.05</v>
      </c>
      <c r="BG64" s="137">
        <v>5931.04</v>
      </c>
      <c r="BH64" s="137">
        <v>2455.27</v>
      </c>
      <c r="BI64" s="137">
        <v>1695.63</v>
      </c>
      <c r="BJ64" s="137">
        <v>6688.09</v>
      </c>
      <c r="BK64" s="137">
        <v>179.06</v>
      </c>
      <c r="BL64" s="137">
        <v>1589.13</v>
      </c>
      <c r="BM64" s="137">
        <v>480936.03</v>
      </c>
      <c r="BN64" s="137" t="s">
        <v>301</v>
      </c>
      <c r="BO64" s="137" t="s">
        <v>301</v>
      </c>
      <c r="BP64" s="137">
        <v>43693.34</v>
      </c>
      <c r="BQ64" s="137" t="s">
        <v>301</v>
      </c>
      <c r="BR64" s="137" t="s">
        <v>301</v>
      </c>
      <c r="BS64" s="137" t="s">
        <v>301</v>
      </c>
      <c r="BT64" s="137" t="s">
        <v>301</v>
      </c>
      <c r="BU64" s="137" t="s">
        <v>301</v>
      </c>
      <c r="BV64" s="137" t="s">
        <v>301</v>
      </c>
      <c r="BW64" s="137">
        <v>853.54</v>
      </c>
    </row>
    <row r="65" spans="1:75" x14ac:dyDescent="0.2">
      <c r="A65" s="137" t="s">
        <v>354</v>
      </c>
      <c r="B65" s="137" t="s">
        <v>301</v>
      </c>
      <c r="C65" s="137" t="s">
        <v>301</v>
      </c>
      <c r="D65" s="137" t="s">
        <v>301</v>
      </c>
      <c r="E65" s="137" t="s">
        <v>301</v>
      </c>
      <c r="F65" s="138" t="s">
        <v>367</v>
      </c>
      <c r="G65" s="137" t="s">
        <v>301</v>
      </c>
      <c r="H65" s="137" t="s">
        <v>301</v>
      </c>
      <c r="I65" s="137" t="s">
        <v>301</v>
      </c>
      <c r="J65" s="137" t="s">
        <v>301</v>
      </c>
      <c r="K65" s="137" t="s">
        <v>301</v>
      </c>
      <c r="L65" s="137" t="s">
        <v>301</v>
      </c>
      <c r="M65" s="137" t="s">
        <v>301</v>
      </c>
      <c r="N65" s="137" t="s">
        <v>301</v>
      </c>
      <c r="O65" s="137" t="s">
        <v>301</v>
      </c>
      <c r="P65" s="137" t="s">
        <v>301</v>
      </c>
      <c r="Q65" s="137" t="s">
        <v>301</v>
      </c>
      <c r="R65" s="137" t="s">
        <v>301</v>
      </c>
      <c r="S65" s="137" t="s">
        <v>301</v>
      </c>
      <c r="T65" s="137" t="s">
        <v>301</v>
      </c>
      <c r="U65" s="137" t="s">
        <v>301</v>
      </c>
      <c r="V65" s="137" t="s">
        <v>301</v>
      </c>
      <c r="W65" s="137" t="s">
        <v>301</v>
      </c>
      <c r="X65" s="137">
        <v>39</v>
      </c>
      <c r="Y65" s="137">
        <v>59.48</v>
      </c>
      <c r="Z65" s="137">
        <v>2.66</v>
      </c>
      <c r="AA65" s="137">
        <v>0</v>
      </c>
      <c r="AB65" s="138" t="s">
        <v>301</v>
      </c>
      <c r="AC65" s="137">
        <v>72.7</v>
      </c>
      <c r="AD65" s="137">
        <v>32.520000000000003</v>
      </c>
      <c r="AE65" s="137">
        <v>8.58</v>
      </c>
      <c r="AF65" s="137" t="s">
        <v>301</v>
      </c>
      <c r="AG65" s="137" t="s">
        <v>301</v>
      </c>
      <c r="AH65" s="137" t="s">
        <v>301</v>
      </c>
      <c r="AI65" s="137">
        <v>0</v>
      </c>
      <c r="AJ65" s="137" t="s">
        <v>301</v>
      </c>
      <c r="AK65" s="137">
        <v>45.97</v>
      </c>
      <c r="AL65" s="137">
        <v>16.12</v>
      </c>
      <c r="AM65" s="137">
        <v>32.22</v>
      </c>
      <c r="AN65" s="137">
        <v>25.11</v>
      </c>
      <c r="AO65" s="137">
        <v>72.42</v>
      </c>
      <c r="AP65" s="137">
        <v>11750.95</v>
      </c>
      <c r="AQ65" s="137">
        <v>44.91</v>
      </c>
      <c r="AR65" s="137">
        <v>11.54</v>
      </c>
      <c r="AS65" s="137" t="s">
        <v>301</v>
      </c>
      <c r="AT65" s="137">
        <v>614.47</v>
      </c>
      <c r="AU65" s="137">
        <v>570.98</v>
      </c>
      <c r="AV65" s="137">
        <v>24.11</v>
      </c>
      <c r="AW65" s="137">
        <v>269.43</v>
      </c>
      <c r="AX65" s="137">
        <v>55.26</v>
      </c>
      <c r="AY65" s="137">
        <v>9.31</v>
      </c>
      <c r="AZ65" s="137">
        <v>874.95</v>
      </c>
      <c r="BA65" s="137">
        <v>10.28</v>
      </c>
      <c r="BB65" s="137">
        <v>8.32</v>
      </c>
      <c r="BC65" s="137">
        <v>461.85</v>
      </c>
      <c r="BD65" s="137">
        <v>578.88</v>
      </c>
      <c r="BE65" s="137">
        <v>318.48</v>
      </c>
      <c r="BF65" s="137">
        <v>335.32</v>
      </c>
      <c r="BG65" s="137">
        <v>67</v>
      </c>
      <c r="BH65" s="137">
        <v>0.79</v>
      </c>
      <c r="BI65" s="137" t="s">
        <v>301</v>
      </c>
      <c r="BJ65" s="137">
        <v>62.32</v>
      </c>
      <c r="BK65" s="137">
        <v>9.3699999999999992</v>
      </c>
      <c r="BL65" s="137">
        <v>99.78</v>
      </c>
      <c r="BM65" s="137">
        <v>16585.079999999998</v>
      </c>
      <c r="BN65" s="137" t="s">
        <v>301</v>
      </c>
      <c r="BO65" s="137" t="s">
        <v>301</v>
      </c>
      <c r="BP65" s="137">
        <v>13169.51</v>
      </c>
      <c r="BQ65" s="137" t="s">
        <v>301</v>
      </c>
      <c r="BR65" s="137" t="s">
        <v>301</v>
      </c>
      <c r="BS65" s="137">
        <v>1902465.01</v>
      </c>
      <c r="BT65" s="137" t="s">
        <v>301</v>
      </c>
      <c r="BU65" s="137" t="s">
        <v>301</v>
      </c>
      <c r="BV65" s="137" t="s">
        <v>301</v>
      </c>
      <c r="BW65" s="137" t="s">
        <v>301</v>
      </c>
    </row>
    <row r="66" spans="1:75" x14ac:dyDescent="0.2">
      <c r="A66" s="137" t="s">
        <v>355</v>
      </c>
      <c r="B66" s="137">
        <v>16.57</v>
      </c>
      <c r="C66" s="137">
        <v>0</v>
      </c>
      <c r="D66" s="137">
        <v>1.46</v>
      </c>
      <c r="E66" s="137">
        <v>0</v>
      </c>
      <c r="F66" s="138" t="s">
        <v>367</v>
      </c>
      <c r="G66" s="137" t="s">
        <v>301</v>
      </c>
      <c r="H66" s="137" t="s">
        <v>301</v>
      </c>
      <c r="I66" s="137" t="s">
        <v>301</v>
      </c>
      <c r="J66" s="137">
        <v>59.05</v>
      </c>
      <c r="K66" s="137">
        <v>14.28</v>
      </c>
      <c r="L66" s="137" t="s">
        <v>301</v>
      </c>
      <c r="M66" s="137" t="s">
        <v>301</v>
      </c>
      <c r="N66" s="137">
        <v>2.66</v>
      </c>
      <c r="O66" s="137" t="s">
        <v>301</v>
      </c>
      <c r="P66" s="137" t="s">
        <v>301</v>
      </c>
      <c r="Q66" s="137" t="s">
        <v>301</v>
      </c>
      <c r="R66" s="137" t="s">
        <v>301</v>
      </c>
      <c r="S66" s="137" t="s">
        <v>301</v>
      </c>
      <c r="T66" s="137" t="s">
        <v>301</v>
      </c>
      <c r="U66" s="137" t="s">
        <v>301</v>
      </c>
      <c r="V66" s="137" t="s">
        <v>301</v>
      </c>
      <c r="W66" s="137" t="s">
        <v>301</v>
      </c>
      <c r="X66" s="137" t="s">
        <v>301</v>
      </c>
      <c r="Y66" s="137">
        <v>252</v>
      </c>
      <c r="Z66" s="137" t="s">
        <v>301</v>
      </c>
      <c r="AA66" s="137" t="s">
        <v>301</v>
      </c>
      <c r="AB66" s="138">
        <v>7.68</v>
      </c>
      <c r="AC66" s="137">
        <v>442.35</v>
      </c>
      <c r="AD66" s="137">
        <v>1907.26</v>
      </c>
      <c r="AE66" s="137">
        <v>6483.75</v>
      </c>
      <c r="AF66" s="137">
        <v>57.22</v>
      </c>
      <c r="AG66" s="137" t="s">
        <v>301</v>
      </c>
      <c r="AH66" s="137">
        <v>266.04000000000002</v>
      </c>
      <c r="AI66" s="137">
        <v>49.37</v>
      </c>
      <c r="AJ66" s="137" t="s">
        <v>301</v>
      </c>
      <c r="AK66" s="137" t="s">
        <v>301</v>
      </c>
      <c r="AL66" s="137" t="s">
        <v>301</v>
      </c>
      <c r="AM66" s="137" t="s">
        <v>301</v>
      </c>
      <c r="AN66" s="137">
        <v>88.29</v>
      </c>
      <c r="AO66" s="137">
        <v>276.02</v>
      </c>
      <c r="AP66" s="137">
        <v>36.049999999999997</v>
      </c>
      <c r="AQ66" s="137" t="s">
        <v>301</v>
      </c>
      <c r="AR66" s="137" t="s">
        <v>301</v>
      </c>
      <c r="AS66" s="137" t="s">
        <v>301</v>
      </c>
      <c r="AT66" s="137" t="s">
        <v>301</v>
      </c>
      <c r="AU66" s="137" t="s">
        <v>301</v>
      </c>
      <c r="AV66" s="137">
        <v>90.18</v>
      </c>
      <c r="AW66" s="137" t="s">
        <v>301</v>
      </c>
      <c r="AX66" s="137" t="s">
        <v>301</v>
      </c>
      <c r="AY66" s="137" t="s">
        <v>301</v>
      </c>
      <c r="AZ66" s="137" t="s">
        <v>301</v>
      </c>
      <c r="BA66" s="137">
        <v>244.18</v>
      </c>
      <c r="BB66" s="137" t="s">
        <v>301</v>
      </c>
      <c r="BC66" s="137">
        <v>1070.31</v>
      </c>
      <c r="BD66" s="137">
        <v>9367.51</v>
      </c>
      <c r="BE66" s="137">
        <v>14075.51</v>
      </c>
      <c r="BF66" s="137">
        <v>25.01</v>
      </c>
      <c r="BG66" s="137" t="s">
        <v>301</v>
      </c>
      <c r="BH66" s="137">
        <v>2285.21</v>
      </c>
      <c r="BI66" s="137">
        <v>316.42</v>
      </c>
      <c r="BJ66" s="137">
        <v>4830.1899999999996</v>
      </c>
      <c r="BK66" s="137" t="s">
        <v>301</v>
      </c>
      <c r="BL66" s="137">
        <v>56.71</v>
      </c>
      <c r="BM66" s="137">
        <v>42321.280000000006</v>
      </c>
      <c r="BN66" s="137" t="s">
        <v>301</v>
      </c>
      <c r="BO66" s="137" t="s">
        <v>301</v>
      </c>
      <c r="BP66" s="137">
        <v>365254.5</v>
      </c>
      <c r="BQ66" s="137" t="s">
        <v>301</v>
      </c>
      <c r="BR66" s="137" t="s">
        <v>301</v>
      </c>
      <c r="BS66" s="137">
        <v>889757.36</v>
      </c>
      <c r="BT66" s="137" t="s">
        <v>301</v>
      </c>
      <c r="BU66" s="137" t="s">
        <v>301</v>
      </c>
      <c r="BV66" s="137" t="s">
        <v>301</v>
      </c>
      <c r="BW66" s="137">
        <v>2107.17</v>
      </c>
    </row>
    <row r="67" spans="1:75" x14ac:dyDescent="0.2">
      <c r="A67" s="137" t="s">
        <v>356</v>
      </c>
      <c r="B67" s="137" t="s">
        <v>301</v>
      </c>
      <c r="C67" s="137" t="s">
        <v>301</v>
      </c>
      <c r="D67" s="137" t="s">
        <v>301</v>
      </c>
      <c r="E67" s="137" t="s">
        <v>301</v>
      </c>
      <c r="F67" s="138" t="s">
        <v>367</v>
      </c>
      <c r="G67" s="137" t="s">
        <v>301</v>
      </c>
      <c r="H67" s="137" t="s">
        <v>301</v>
      </c>
      <c r="I67" s="137" t="s">
        <v>301</v>
      </c>
      <c r="J67" s="137" t="s">
        <v>301</v>
      </c>
      <c r="K67" s="137" t="s">
        <v>301</v>
      </c>
      <c r="L67" s="137" t="s">
        <v>301</v>
      </c>
      <c r="M67" s="137" t="s">
        <v>301</v>
      </c>
      <c r="N67" s="137" t="s">
        <v>301</v>
      </c>
      <c r="O67" s="137" t="s">
        <v>301</v>
      </c>
      <c r="P67" s="137" t="s">
        <v>301</v>
      </c>
      <c r="Q67" s="137" t="s">
        <v>301</v>
      </c>
      <c r="R67" s="137" t="s">
        <v>301</v>
      </c>
      <c r="S67" s="137" t="s">
        <v>301</v>
      </c>
      <c r="T67" s="137" t="s">
        <v>301</v>
      </c>
      <c r="U67" s="137" t="s">
        <v>301</v>
      </c>
      <c r="V67" s="137" t="s">
        <v>301</v>
      </c>
      <c r="W67" s="137" t="s">
        <v>301</v>
      </c>
      <c r="X67" s="137" t="s">
        <v>301</v>
      </c>
      <c r="Y67" s="137" t="s">
        <v>301</v>
      </c>
      <c r="Z67" s="137" t="s">
        <v>301</v>
      </c>
      <c r="AA67" s="137" t="s">
        <v>301</v>
      </c>
      <c r="AB67" s="138" t="s">
        <v>301</v>
      </c>
      <c r="AC67" s="137" t="s">
        <v>301</v>
      </c>
      <c r="AD67" s="137" t="s">
        <v>301</v>
      </c>
      <c r="AE67" s="137" t="s">
        <v>301</v>
      </c>
      <c r="AF67" s="137" t="s">
        <v>301</v>
      </c>
      <c r="AG67" s="137" t="s">
        <v>301</v>
      </c>
      <c r="AH67" s="137" t="s">
        <v>301</v>
      </c>
      <c r="AI67" s="137" t="s">
        <v>301</v>
      </c>
      <c r="AJ67" s="137" t="s">
        <v>301</v>
      </c>
      <c r="AK67" s="137" t="s">
        <v>301</v>
      </c>
      <c r="AL67" s="137" t="s">
        <v>301</v>
      </c>
      <c r="AM67" s="137" t="s">
        <v>301</v>
      </c>
      <c r="AN67" s="137" t="s">
        <v>301</v>
      </c>
      <c r="AO67" s="137" t="s">
        <v>301</v>
      </c>
      <c r="AP67" s="137" t="s">
        <v>301</v>
      </c>
      <c r="AQ67" s="137" t="s">
        <v>301</v>
      </c>
      <c r="AR67" s="137" t="s">
        <v>301</v>
      </c>
      <c r="AS67" s="137" t="s">
        <v>301</v>
      </c>
      <c r="AT67" s="137" t="s">
        <v>301</v>
      </c>
      <c r="AU67" s="137" t="s">
        <v>301</v>
      </c>
      <c r="AV67" s="137" t="s">
        <v>301</v>
      </c>
      <c r="AW67" s="137" t="s">
        <v>301</v>
      </c>
      <c r="AX67" s="137" t="s">
        <v>301</v>
      </c>
      <c r="AY67" s="137">
        <v>75.84</v>
      </c>
      <c r="AZ67" s="137" t="s">
        <v>301</v>
      </c>
      <c r="BA67" s="137" t="s">
        <v>301</v>
      </c>
      <c r="BB67" s="137" t="s">
        <v>301</v>
      </c>
      <c r="BC67" s="137">
        <v>118.35</v>
      </c>
      <c r="BD67" s="137">
        <v>9288.68</v>
      </c>
      <c r="BE67" s="137" t="s">
        <v>301</v>
      </c>
      <c r="BF67" s="137">
        <v>37753.72</v>
      </c>
      <c r="BG67" s="137">
        <v>110.19</v>
      </c>
      <c r="BH67" s="137">
        <v>67.84</v>
      </c>
      <c r="BI67" s="137">
        <v>72.22</v>
      </c>
      <c r="BJ67" s="137">
        <v>133.16</v>
      </c>
      <c r="BK67" s="137" t="s">
        <v>301</v>
      </c>
      <c r="BL67" s="137" t="s">
        <v>301</v>
      </c>
      <c r="BM67" s="137">
        <v>47620.000000000007</v>
      </c>
      <c r="BN67" s="137" t="s">
        <v>301</v>
      </c>
      <c r="BO67" s="137" t="s">
        <v>301</v>
      </c>
      <c r="BP67" s="137">
        <v>2216228.7599999998</v>
      </c>
      <c r="BQ67" s="137" t="s">
        <v>301</v>
      </c>
      <c r="BR67" s="137" t="s">
        <v>301</v>
      </c>
      <c r="BS67" s="137">
        <v>66670.14</v>
      </c>
      <c r="BT67" s="137" t="s">
        <v>301</v>
      </c>
      <c r="BU67" s="137" t="s">
        <v>301</v>
      </c>
      <c r="BV67" s="137" t="s">
        <v>301</v>
      </c>
      <c r="BW67" s="137">
        <v>3042.65</v>
      </c>
    </row>
    <row r="68" spans="1:75" x14ac:dyDescent="0.2">
      <c r="A68" s="137" t="s">
        <v>357</v>
      </c>
      <c r="B68" s="137" t="s">
        <v>301</v>
      </c>
      <c r="C68" s="137" t="s">
        <v>301</v>
      </c>
      <c r="D68" s="137" t="s">
        <v>301</v>
      </c>
      <c r="E68" s="137" t="s">
        <v>301</v>
      </c>
      <c r="F68" s="138" t="s">
        <v>367</v>
      </c>
      <c r="G68" s="137" t="s">
        <v>301</v>
      </c>
      <c r="H68" s="137" t="s">
        <v>301</v>
      </c>
      <c r="I68" s="137" t="s">
        <v>301</v>
      </c>
      <c r="J68" s="137" t="s">
        <v>301</v>
      </c>
      <c r="K68" s="137" t="s">
        <v>301</v>
      </c>
      <c r="L68" s="137" t="s">
        <v>301</v>
      </c>
      <c r="M68" s="137" t="s">
        <v>301</v>
      </c>
      <c r="N68" s="137" t="s">
        <v>301</v>
      </c>
      <c r="O68" s="137" t="s">
        <v>301</v>
      </c>
      <c r="P68" s="137" t="s">
        <v>301</v>
      </c>
      <c r="Q68" s="137" t="s">
        <v>301</v>
      </c>
      <c r="R68" s="137" t="s">
        <v>301</v>
      </c>
      <c r="S68" s="137" t="s">
        <v>301</v>
      </c>
      <c r="T68" s="137" t="s">
        <v>301</v>
      </c>
      <c r="U68" s="137" t="s">
        <v>301</v>
      </c>
      <c r="V68" s="137" t="s">
        <v>301</v>
      </c>
      <c r="W68" s="137" t="s">
        <v>301</v>
      </c>
      <c r="X68" s="137" t="s">
        <v>301</v>
      </c>
      <c r="Y68" s="137" t="s">
        <v>301</v>
      </c>
      <c r="Z68" s="137" t="s">
        <v>301</v>
      </c>
      <c r="AA68" s="137" t="s">
        <v>301</v>
      </c>
      <c r="AB68" s="138" t="s">
        <v>301</v>
      </c>
      <c r="AC68" s="137" t="s">
        <v>301</v>
      </c>
      <c r="AD68" s="137" t="s">
        <v>301</v>
      </c>
      <c r="AE68" s="137">
        <v>0</v>
      </c>
      <c r="AF68" s="137" t="s">
        <v>301</v>
      </c>
      <c r="AG68" s="137" t="s">
        <v>301</v>
      </c>
      <c r="AH68" s="137" t="s">
        <v>301</v>
      </c>
      <c r="AI68" s="137" t="s">
        <v>301</v>
      </c>
      <c r="AJ68" s="137" t="s">
        <v>301</v>
      </c>
      <c r="AK68" s="137" t="s">
        <v>301</v>
      </c>
      <c r="AL68" s="137" t="s">
        <v>301</v>
      </c>
      <c r="AM68" s="137" t="s">
        <v>301</v>
      </c>
      <c r="AN68" s="137" t="s">
        <v>301</v>
      </c>
      <c r="AO68" s="137" t="s">
        <v>301</v>
      </c>
      <c r="AP68" s="137" t="s">
        <v>301</v>
      </c>
      <c r="AQ68" s="137" t="s">
        <v>301</v>
      </c>
      <c r="AR68" s="137" t="s">
        <v>301</v>
      </c>
      <c r="AS68" s="137" t="s">
        <v>301</v>
      </c>
      <c r="AT68" s="137" t="s">
        <v>301</v>
      </c>
      <c r="AU68" s="137" t="s">
        <v>301</v>
      </c>
      <c r="AV68" s="137" t="s">
        <v>301</v>
      </c>
      <c r="AW68" s="137" t="s">
        <v>301</v>
      </c>
      <c r="AX68" s="137" t="s">
        <v>301</v>
      </c>
      <c r="AY68" s="137" t="s">
        <v>301</v>
      </c>
      <c r="AZ68" s="137" t="s">
        <v>301</v>
      </c>
      <c r="BA68" s="137" t="s">
        <v>301</v>
      </c>
      <c r="BB68" s="137" t="s">
        <v>301</v>
      </c>
      <c r="BC68" s="137" t="s">
        <v>301</v>
      </c>
      <c r="BD68" s="137">
        <v>4683.63</v>
      </c>
      <c r="BE68" s="137" t="s">
        <v>301</v>
      </c>
      <c r="BF68" s="137" t="s">
        <v>301</v>
      </c>
      <c r="BG68" s="137" t="s">
        <v>301</v>
      </c>
      <c r="BH68" s="137" t="s">
        <v>301</v>
      </c>
      <c r="BI68" s="137" t="s">
        <v>301</v>
      </c>
      <c r="BJ68" s="137" t="s">
        <v>301</v>
      </c>
      <c r="BK68" s="137" t="s">
        <v>301</v>
      </c>
      <c r="BL68" s="137" t="s">
        <v>301</v>
      </c>
      <c r="BM68" s="137">
        <v>4683.63</v>
      </c>
      <c r="BN68" s="137" t="s">
        <v>301</v>
      </c>
      <c r="BO68" s="137" t="s">
        <v>301</v>
      </c>
      <c r="BP68" s="137">
        <v>474008.22</v>
      </c>
      <c r="BQ68" s="137" t="s">
        <v>301</v>
      </c>
      <c r="BR68" s="137" t="s">
        <v>301</v>
      </c>
      <c r="BS68" s="137" t="s">
        <v>301</v>
      </c>
      <c r="BT68" s="137" t="s">
        <v>301</v>
      </c>
      <c r="BU68" s="137" t="s">
        <v>301</v>
      </c>
      <c r="BV68" s="137" t="s">
        <v>301</v>
      </c>
      <c r="BW68" s="137" t="s">
        <v>301</v>
      </c>
    </row>
    <row r="69" spans="1:75" x14ac:dyDescent="0.2">
      <c r="A69" s="137" t="s">
        <v>358</v>
      </c>
      <c r="B69" s="137">
        <v>15.42</v>
      </c>
      <c r="C69" s="137">
        <v>1.21</v>
      </c>
      <c r="D69" s="137" t="s">
        <v>301</v>
      </c>
      <c r="E69" s="137">
        <v>7.51</v>
      </c>
      <c r="F69" s="138">
        <v>102.09</v>
      </c>
      <c r="G69" s="137">
        <v>12.56</v>
      </c>
      <c r="H69" s="137">
        <v>23.33</v>
      </c>
      <c r="I69" s="137">
        <v>25.3</v>
      </c>
      <c r="J69" s="137">
        <v>22.94</v>
      </c>
      <c r="K69" s="137">
        <v>33.93</v>
      </c>
      <c r="L69" s="137">
        <v>28.15</v>
      </c>
      <c r="M69" s="137">
        <v>2.0299999999999998</v>
      </c>
      <c r="N69" s="137">
        <v>65.73</v>
      </c>
      <c r="O69" s="137">
        <v>35.07</v>
      </c>
      <c r="P69" s="137">
        <v>53.61</v>
      </c>
      <c r="Q69" s="137">
        <v>52.9</v>
      </c>
      <c r="R69" s="137">
        <v>1.66</v>
      </c>
      <c r="S69" s="137">
        <v>4.78</v>
      </c>
      <c r="T69" s="137">
        <v>43.95</v>
      </c>
      <c r="U69" s="137">
        <v>28.32</v>
      </c>
      <c r="V69" s="137">
        <v>13.65</v>
      </c>
      <c r="W69" s="137">
        <v>31.38</v>
      </c>
      <c r="X69" s="137">
        <v>23.22</v>
      </c>
      <c r="Y69" s="137">
        <v>98.55</v>
      </c>
      <c r="Z69" s="137">
        <v>11.22</v>
      </c>
      <c r="AA69" s="137">
        <v>59.42</v>
      </c>
      <c r="AB69" s="138">
        <v>43.11</v>
      </c>
      <c r="AC69" s="137">
        <v>164.54</v>
      </c>
      <c r="AD69" s="137">
        <v>1809.49</v>
      </c>
      <c r="AE69" s="137">
        <v>632.99</v>
      </c>
      <c r="AF69" s="137">
        <v>433.27</v>
      </c>
      <c r="AG69" s="137">
        <v>4.46</v>
      </c>
      <c r="AH69" s="137">
        <v>52</v>
      </c>
      <c r="AI69" s="137">
        <v>28.38</v>
      </c>
      <c r="AJ69" s="137">
        <v>41.44</v>
      </c>
      <c r="AK69" s="137">
        <v>2022.88</v>
      </c>
      <c r="AL69" s="137">
        <v>170.92</v>
      </c>
      <c r="AM69" s="137">
        <v>10636.13</v>
      </c>
      <c r="AN69" s="137">
        <v>8251</v>
      </c>
      <c r="AO69" s="137">
        <v>455.21</v>
      </c>
      <c r="AP69" s="137">
        <v>1604.83</v>
      </c>
      <c r="AQ69" s="137">
        <v>270.54000000000002</v>
      </c>
      <c r="AR69" s="137">
        <v>37.75</v>
      </c>
      <c r="AS69" s="137" t="s">
        <v>301</v>
      </c>
      <c r="AT69" s="137">
        <v>5062.57</v>
      </c>
      <c r="AU69" s="137">
        <v>2823.28</v>
      </c>
      <c r="AV69" s="137">
        <v>272.45</v>
      </c>
      <c r="AW69" s="137">
        <v>80.33</v>
      </c>
      <c r="AX69" s="137">
        <v>4062.16</v>
      </c>
      <c r="AY69" s="137">
        <v>215.47</v>
      </c>
      <c r="AZ69" s="137">
        <v>232.07</v>
      </c>
      <c r="BA69" s="137">
        <v>663.32</v>
      </c>
      <c r="BB69" s="137">
        <v>251.99</v>
      </c>
      <c r="BC69" s="137">
        <v>759.09</v>
      </c>
      <c r="BD69" s="137">
        <v>2446.6999999999998</v>
      </c>
      <c r="BE69" s="137">
        <v>451.07</v>
      </c>
      <c r="BF69" s="137">
        <v>1461.73</v>
      </c>
      <c r="BG69" s="137">
        <v>473.12</v>
      </c>
      <c r="BH69" s="137">
        <v>5585.17</v>
      </c>
      <c r="BI69" s="137">
        <v>251.4</v>
      </c>
      <c r="BJ69" s="137">
        <v>182.06</v>
      </c>
      <c r="BK69" s="137">
        <v>3.85</v>
      </c>
      <c r="BL69" s="137">
        <v>949.8</v>
      </c>
      <c r="BM69" s="137">
        <v>53684.5</v>
      </c>
      <c r="BN69" s="137" t="s">
        <v>301</v>
      </c>
      <c r="BO69" s="137" t="s">
        <v>301</v>
      </c>
      <c r="BP69" s="137">
        <v>188019.55</v>
      </c>
      <c r="BQ69" s="137" t="s">
        <v>301</v>
      </c>
      <c r="BR69" s="137" t="s">
        <v>301</v>
      </c>
      <c r="BS69" s="137" t="s">
        <v>301</v>
      </c>
      <c r="BT69" s="137">
        <v>5918.27</v>
      </c>
      <c r="BU69" s="137" t="s">
        <v>301</v>
      </c>
      <c r="BV69" s="137" t="s">
        <v>301</v>
      </c>
      <c r="BW69" s="137">
        <v>700.47</v>
      </c>
    </row>
    <row r="70" spans="1:75" x14ac:dyDescent="0.2">
      <c r="A70" s="137" t="s">
        <v>359</v>
      </c>
      <c r="B70" s="137">
        <v>57.09</v>
      </c>
      <c r="C70" s="137" t="s">
        <v>301</v>
      </c>
      <c r="D70" s="137" t="s">
        <v>301</v>
      </c>
      <c r="E70" s="137">
        <v>32.75</v>
      </c>
      <c r="F70" s="138">
        <v>56.18</v>
      </c>
      <c r="G70" s="137">
        <v>1.05</v>
      </c>
      <c r="H70" s="137">
        <v>12.63</v>
      </c>
      <c r="I70" s="137">
        <v>11.82</v>
      </c>
      <c r="J70" s="137">
        <v>21.05</v>
      </c>
      <c r="K70" s="137">
        <v>11.54</v>
      </c>
      <c r="L70" s="137">
        <v>26.62</v>
      </c>
      <c r="M70" s="137">
        <v>1.68</v>
      </c>
      <c r="N70" s="137">
        <v>36.46</v>
      </c>
      <c r="O70" s="137">
        <v>20.67</v>
      </c>
      <c r="P70" s="137">
        <v>25.89</v>
      </c>
      <c r="Q70" s="137">
        <v>48.94</v>
      </c>
      <c r="R70" s="137">
        <v>2.4300000000000002</v>
      </c>
      <c r="S70" s="137">
        <v>1.93</v>
      </c>
      <c r="T70" s="137">
        <v>29.48</v>
      </c>
      <c r="U70" s="137">
        <v>14.5</v>
      </c>
      <c r="V70" s="137">
        <v>10.41</v>
      </c>
      <c r="W70" s="137">
        <v>29.4</v>
      </c>
      <c r="X70" s="137">
        <v>13.64</v>
      </c>
      <c r="Y70" s="137">
        <v>105.12</v>
      </c>
      <c r="Z70" s="137">
        <v>4.07</v>
      </c>
      <c r="AA70" s="137">
        <v>53.11</v>
      </c>
      <c r="AB70" s="138">
        <v>190.84</v>
      </c>
      <c r="AC70" s="137">
        <v>762.53</v>
      </c>
      <c r="AD70" s="137">
        <v>626.94000000000005</v>
      </c>
      <c r="AE70" s="137">
        <v>973.61</v>
      </c>
      <c r="AF70" s="137">
        <v>16.75</v>
      </c>
      <c r="AG70" s="137" t="s">
        <v>301</v>
      </c>
      <c r="AH70" s="137">
        <v>8.0299999999999994</v>
      </c>
      <c r="AI70" s="137">
        <v>397.66</v>
      </c>
      <c r="AJ70" s="137">
        <v>0.36</v>
      </c>
      <c r="AK70" s="137">
        <v>939.28</v>
      </c>
      <c r="AL70" s="137">
        <v>89.17</v>
      </c>
      <c r="AM70" s="137">
        <v>15766.6</v>
      </c>
      <c r="AN70" s="137">
        <v>413.95</v>
      </c>
      <c r="AO70" s="137">
        <v>664.02</v>
      </c>
      <c r="AP70" s="137">
        <v>895.03</v>
      </c>
      <c r="AQ70" s="137">
        <v>323.22000000000003</v>
      </c>
      <c r="AR70" s="137">
        <v>60.19</v>
      </c>
      <c r="AS70" s="137" t="s">
        <v>301</v>
      </c>
      <c r="AT70" s="137">
        <v>1597.88</v>
      </c>
      <c r="AU70" s="137">
        <v>2584.37</v>
      </c>
      <c r="AV70" s="137">
        <v>225.88</v>
      </c>
      <c r="AW70" s="137">
        <v>68.45</v>
      </c>
      <c r="AX70" s="137">
        <v>159.16999999999999</v>
      </c>
      <c r="AY70" s="137">
        <v>184.83</v>
      </c>
      <c r="AZ70" s="137">
        <v>105.98</v>
      </c>
      <c r="BA70" s="137">
        <v>723.33</v>
      </c>
      <c r="BB70" s="137">
        <v>213.43</v>
      </c>
      <c r="BC70" s="137">
        <v>705.91</v>
      </c>
      <c r="BD70" s="137">
        <v>613</v>
      </c>
      <c r="BE70" s="137">
        <v>1465.04</v>
      </c>
      <c r="BF70" s="137">
        <v>649.15</v>
      </c>
      <c r="BG70" s="137">
        <v>134.82</v>
      </c>
      <c r="BH70" s="137">
        <v>8310.49</v>
      </c>
      <c r="BI70" s="137">
        <v>7844.23</v>
      </c>
      <c r="BJ70" s="137">
        <v>1449.28</v>
      </c>
      <c r="BK70" s="137">
        <v>2.27</v>
      </c>
      <c r="BL70" s="137">
        <v>78.17</v>
      </c>
      <c r="BM70" s="137">
        <v>49872.32</v>
      </c>
      <c r="BN70" s="137" t="s">
        <v>301</v>
      </c>
      <c r="BO70" s="137" t="s">
        <v>301</v>
      </c>
      <c r="BP70" s="137">
        <v>131404.25</v>
      </c>
      <c r="BQ70" s="137" t="s">
        <v>301</v>
      </c>
      <c r="BR70" s="137" t="s">
        <v>301</v>
      </c>
      <c r="BS70" s="137" t="s">
        <v>301</v>
      </c>
      <c r="BT70" s="137" t="s">
        <v>301</v>
      </c>
      <c r="BU70" s="137" t="s">
        <v>301</v>
      </c>
      <c r="BV70" s="137" t="s">
        <v>301</v>
      </c>
      <c r="BW70" s="137">
        <v>762.81</v>
      </c>
    </row>
    <row r="71" spans="1:75" x14ac:dyDescent="0.2">
      <c r="A71" s="137" t="s">
        <v>360</v>
      </c>
      <c r="B71" s="137">
        <v>72.84</v>
      </c>
      <c r="C71" s="137" t="s">
        <v>301</v>
      </c>
      <c r="D71" s="137" t="s">
        <v>301</v>
      </c>
      <c r="E71" s="137">
        <v>159.54</v>
      </c>
      <c r="F71" s="138">
        <v>58.38</v>
      </c>
      <c r="G71" s="137">
        <v>5.88</v>
      </c>
      <c r="H71" s="137">
        <v>15.95</v>
      </c>
      <c r="I71" s="137">
        <v>14.9</v>
      </c>
      <c r="J71" s="137">
        <v>11.35</v>
      </c>
      <c r="K71" s="137">
        <v>23.64</v>
      </c>
      <c r="L71" s="137">
        <v>10.78</v>
      </c>
      <c r="M71" s="137">
        <v>1.24</v>
      </c>
      <c r="N71" s="137">
        <v>31.72</v>
      </c>
      <c r="O71" s="137">
        <v>24.86</v>
      </c>
      <c r="P71" s="137">
        <v>25.94</v>
      </c>
      <c r="Q71" s="137">
        <v>32.08</v>
      </c>
      <c r="R71" s="137">
        <v>0.99</v>
      </c>
      <c r="S71" s="137">
        <v>3.02</v>
      </c>
      <c r="T71" s="137">
        <v>22.23</v>
      </c>
      <c r="U71" s="137">
        <v>10.82</v>
      </c>
      <c r="V71" s="137">
        <v>6.74</v>
      </c>
      <c r="W71" s="137">
        <v>23.91</v>
      </c>
      <c r="X71" s="137">
        <v>33.28</v>
      </c>
      <c r="Y71" s="137">
        <v>145.74</v>
      </c>
      <c r="Z71" s="137">
        <v>2.0299999999999998</v>
      </c>
      <c r="AA71" s="137">
        <v>19.66</v>
      </c>
      <c r="AB71" s="138">
        <v>648.41999999999996</v>
      </c>
      <c r="AC71" s="137">
        <v>145.58000000000001</v>
      </c>
      <c r="AD71" s="137">
        <v>335.95</v>
      </c>
      <c r="AE71" s="137">
        <v>392.33</v>
      </c>
      <c r="AF71" s="137">
        <v>288.43</v>
      </c>
      <c r="AG71" s="137">
        <v>0.71</v>
      </c>
      <c r="AH71" s="137">
        <v>66.36</v>
      </c>
      <c r="AI71" s="137">
        <v>41.05</v>
      </c>
      <c r="AJ71" s="137">
        <v>31.94</v>
      </c>
      <c r="AK71" s="137">
        <v>155.59</v>
      </c>
      <c r="AL71" s="137">
        <v>51.29</v>
      </c>
      <c r="AM71" s="137">
        <v>46.68</v>
      </c>
      <c r="AN71" s="137">
        <v>190.71</v>
      </c>
      <c r="AO71" s="137">
        <v>191.12</v>
      </c>
      <c r="AP71" s="137">
        <v>2769.14</v>
      </c>
      <c r="AQ71" s="137">
        <v>7503.68</v>
      </c>
      <c r="AR71" s="137">
        <v>2.63</v>
      </c>
      <c r="AS71" s="137">
        <v>64.02</v>
      </c>
      <c r="AT71" s="137">
        <v>1192.29</v>
      </c>
      <c r="AU71" s="137">
        <v>1480.99</v>
      </c>
      <c r="AV71" s="137">
        <v>122.22</v>
      </c>
      <c r="AW71" s="137">
        <v>291.72000000000003</v>
      </c>
      <c r="AX71" s="137">
        <v>51.2</v>
      </c>
      <c r="AY71" s="137">
        <v>41.72</v>
      </c>
      <c r="AZ71" s="137">
        <v>507.14</v>
      </c>
      <c r="BA71" s="137">
        <v>116.63</v>
      </c>
      <c r="BB71" s="137">
        <v>25.33</v>
      </c>
      <c r="BC71" s="137">
        <v>201.63</v>
      </c>
      <c r="BD71" s="137">
        <v>64</v>
      </c>
      <c r="BE71" s="137">
        <v>68.040000000000006</v>
      </c>
      <c r="BF71" s="137">
        <v>796.42</v>
      </c>
      <c r="BG71" s="137">
        <v>157.69</v>
      </c>
      <c r="BH71" s="137">
        <v>97.2</v>
      </c>
      <c r="BI71" s="137">
        <v>14.52</v>
      </c>
      <c r="BJ71" s="137">
        <v>2939.91</v>
      </c>
      <c r="BK71" s="137">
        <v>10.039999999999999</v>
      </c>
      <c r="BL71" s="137">
        <v>272.10000000000002</v>
      </c>
      <c r="BM71" s="137">
        <v>22133.940000000002</v>
      </c>
      <c r="BN71" s="137" t="s">
        <v>301</v>
      </c>
      <c r="BO71" s="137" t="s">
        <v>301</v>
      </c>
      <c r="BP71" s="137">
        <v>230577.83</v>
      </c>
      <c r="BQ71" s="137" t="s">
        <v>301</v>
      </c>
      <c r="BR71" s="137" t="s">
        <v>301</v>
      </c>
      <c r="BS71" s="137" t="s">
        <v>301</v>
      </c>
      <c r="BT71" s="137" t="s">
        <v>301</v>
      </c>
      <c r="BU71" s="137" t="s">
        <v>301</v>
      </c>
      <c r="BV71" s="137" t="s">
        <v>301</v>
      </c>
      <c r="BW71" s="137">
        <v>0</v>
      </c>
    </row>
    <row r="72" spans="1:75" x14ac:dyDescent="0.2">
      <c r="A72" s="137" t="s">
        <v>361</v>
      </c>
      <c r="B72" s="137">
        <v>53.77</v>
      </c>
      <c r="C72" s="137">
        <v>79.28</v>
      </c>
      <c r="D72" s="137" t="s">
        <v>301</v>
      </c>
      <c r="E72" s="137">
        <v>635.78</v>
      </c>
      <c r="F72" s="138">
        <v>333.09</v>
      </c>
      <c r="G72" s="137">
        <v>18.41</v>
      </c>
      <c r="H72" s="137">
        <v>50.72</v>
      </c>
      <c r="I72" s="137">
        <v>189.43</v>
      </c>
      <c r="J72" s="137">
        <v>52.68</v>
      </c>
      <c r="K72" s="137">
        <v>157.69999999999999</v>
      </c>
      <c r="L72" s="137">
        <v>394.52</v>
      </c>
      <c r="M72" s="137">
        <v>58.96</v>
      </c>
      <c r="N72" s="137">
        <v>138.18</v>
      </c>
      <c r="O72" s="137">
        <v>118.65</v>
      </c>
      <c r="P72" s="137">
        <v>182.8</v>
      </c>
      <c r="Q72" s="137">
        <v>175.53</v>
      </c>
      <c r="R72" s="137">
        <v>25.13</v>
      </c>
      <c r="S72" s="137">
        <v>19.170000000000002</v>
      </c>
      <c r="T72" s="137">
        <v>105.15</v>
      </c>
      <c r="U72" s="137">
        <v>121.85</v>
      </c>
      <c r="V72" s="137">
        <v>47.18</v>
      </c>
      <c r="W72" s="137">
        <v>40.299999999999997</v>
      </c>
      <c r="X72" s="137">
        <v>183.55</v>
      </c>
      <c r="Y72" s="137">
        <v>284.81</v>
      </c>
      <c r="Z72" s="137">
        <v>70.33</v>
      </c>
      <c r="AA72" s="137">
        <v>783.77</v>
      </c>
      <c r="AB72" s="138">
        <v>1593.31</v>
      </c>
      <c r="AC72" s="137">
        <v>1032.8599999999999</v>
      </c>
      <c r="AD72" s="137">
        <v>6474.8</v>
      </c>
      <c r="AE72" s="137">
        <v>3132.83</v>
      </c>
      <c r="AF72" s="137">
        <v>938.36</v>
      </c>
      <c r="AG72" s="137">
        <v>81.260000000000005</v>
      </c>
      <c r="AH72" s="137">
        <v>275.69</v>
      </c>
      <c r="AI72" s="137">
        <v>1055.77</v>
      </c>
      <c r="AJ72" s="137">
        <v>281.98</v>
      </c>
      <c r="AK72" s="137">
        <v>3812.34</v>
      </c>
      <c r="AL72" s="137">
        <v>182.76</v>
      </c>
      <c r="AM72" s="137">
        <v>97.28</v>
      </c>
      <c r="AN72" s="137">
        <v>890.12</v>
      </c>
      <c r="AO72" s="137">
        <v>813.18</v>
      </c>
      <c r="AP72" s="137">
        <v>1240.45</v>
      </c>
      <c r="AQ72" s="137">
        <v>1051.73</v>
      </c>
      <c r="AR72" s="137">
        <v>12.56</v>
      </c>
      <c r="AS72" s="137" t="s">
        <v>301</v>
      </c>
      <c r="AT72" s="137">
        <v>2831.4</v>
      </c>
      <c r="AU72" s="137">
        <v>1929.03</v>
      </c>
      <c r="AV72" s="137">
        <v>580.95000000000005</v>
      </c>
      <c r="AW72" s="137">
        <v>495.62</v>
      </c>
      <c r="AX72" s="137">
        <v>189.11</v>
      </c>
      <c r="AY72" s="137">
        <v>553.35</v>
      </c>
      <c r="AZ72" s="137">
        <v>1723.91</v>
      </c>
      <c r="BA72" s="137">
        <v>203.95</v>
      </c>
      <c r="BB72" s="137">
        <v>258.43</v>
      </c>
      <c r="BC72" s="137">
        <v>4079.99</v>
      </c>
      <c r="BD72" s="137">
        <v>11624.98</v>
      </c>
      <c r="BE72" s="137">
        <v>5851.28</v>
      </c>
      <c r="BF72" s="137">
        <v>4983.0600000000004</v>
      </c>
      <c r="BG72" s="137">
        <v>359.39</v>
      </c>
      <c r="BH72" s="137">
        <v>203.09</v>
      </c>
      <c r="BI72" s="137">
        <v>596.75</v>
      </c>
      <c r="BJ72" s="137">
        <v>184.84</v>
      </c>
      <c r="BK72" s="137">
        <v>45.3</v>
      </c>
      <c r="BL72" s="137">
        <v>381.01</v>
      </c>
      <c r="BM72" s="137">
        <v>64363.459999999985</v>
      </c>
      <c r="BN72" s="137" t="s">
        <v>301</v>
      </c>
      <c r="BO72" s="137" t="s">
        <v>301</v>
      </c>
      <c r="BP72" s="137">
        <v>28272.85</v>
      </c>
      <c r="BQ72" s="137" t="s">
        <v>301</v>
      </c>
      <c r="BR72" s="137" t="s">
        <v>301</v>
      </c>
      <c r="BS72" s="137" t="s">
        <v>301</v>
      </c>
      <c r="BT72" s="137" t="s">
        <v>301</v>
      </c>
      <c r="BU72" s="137" t="s">
        <v>301</v>
      </c>
      <c r="BV72" s="137" t="s">
        <v>301</v>
      </c>
      <c r="BW72" s="137">
        <v>9.5500000000000007</v>
      </c>
    </row>
    <row r="73" spans="1:75" x14ac:dyDescent="0.2">
      <c r="A73" s="137" t="s">
        <v>362</v>
      </c>
      <c r="B73" s="137">
        <v>12.91</v>
      </c>
      <c r="C73" s="137" t="s">
        <v>301</v>
      </c>
      <c r="D73" s="137" t="s">
        <v>301</v>
      </c>
      <c r="E73" s="137">
        <v>1.6</v>
      </c>
      <c r="F73" s="138">
        <v>1.34</v>
      </c>
      <c r="G73" s="137">
        <v>12.37</v>
      </c>
      <c r="H73" s="137">
        <v>1.1599999999999999</v>
      </c>
      <c r="I73" s="137">
        <v>0.28000000000000003</v>
      </c>
      <c r="J73" s="137" t="s">
        <v>301</v>
      </c>
      <c r="K73" s="137">
        <v>0.52</v>
      </c>
      <c r="L73" s="137">
        <v>0</v>
      </c>
      <c r="M73" s="137">
        <v>0.54</v>
      </c>
      <c r="N73" s="137">
        <v>2.34</v>
      </c>
      <c r="O73" s="137">
        <v>37.950000000000003</v>
      </c>
      <c r="P73" s="137">
        <v>36.130000000000003</v>
      </c>
      <c r="Q73" s="137">
        <v>48.81</v>
      </c>
      <c r="R73" s="137">
        <v>11.58</v>
      </c>
      <c r="S73" s="137">
        <v>0</v>
      </c>
      <c r="T73" s="137">
        <v>4.2300000000000004</v>
      </c>
      <c r="U73" s="137">
        <v>7.22</v>
      </c>
      <c r="V73" s="137">
        <v>27.14</v>
      </c>
      <c r="W73" s="137">
        <v>9.52</v>
      </c>
      <c r="X73" s="137">
        <v>18.920000000000002</v>
      </c>
      <c r="Y73" s="137">
        <v>3.25</v>
      </c>
      <c r="Z73" s="137" t="s">
        <v>301</v>
      </c>
      <c r="AA73" s="137">
        <v>8.25</v>
      </c>
      <c r="AB73" s="138" t="s">
        <v>301</v>
      </c>
      <c r="AC73" s="137">
        <v>744.57</v>
      </c>
      <c r="AD73" s="137">
        <v>2557.91</v>
      </c>
      <c r="AE73" s="137">
        <v>785.22</v>
      </c>
      <c r="AF73" s="137">
        <v>97.83</v>
      </c>
      <c r="AG73" s="137" t="s">
        <v>301</v>
      </c>
      <c r="AH73" s="137">
        <v>6.5</v>
      </c>
      <c r="AI73" s="137">
        <v>1366.33</v>
      </c>
      <c r="AJ73" s="137">
        <v>326.91000000000003</v>
      </c>
      <c r="AK73" s="137">
        <v>1186.72</v>
      </c>
      <c r="AL73" s="137">
        <v>23.21</v>
      </c>
      <c r="AM73" s="137">
        <v>21.43</v>
      </c>
      <c r="AN73" s="137">
        <v>709.98</v>
      </c>
      <c r="AO73" s="137">
        <v>37.020000000000003</v>
      </c>
      <c r="AP73" s="137">
        <v>208.97</v>
      </c>
      <c r="AQ73" s="137">
        <v>14.51</v>
      </c>
      <c r="AR73" s="137">
        <v>2.46</v>
      </c>
      <c r="AS73" s="137" t="s">
        <v>301</v>
      </c>
      <c r="AT73" s="137">
        <v>345.52</v>
      </c>
      <c r="AU73" s="137">
        <v>678.17</v>
      </c>
      <c r="AV73" s="137">
        <v>253.71</v>
      </c>
      <c r="AW73" s="137">
        <v>452.92</v>
      </c>
      <c r="AX73" s="137">
        <v>487.61</v>
      </c>
      <c r="AY73" s="137">
        <v>887.8</v>
      </c>
      <c r="AZ73" s="137">
        <v>75.63</v>
      </c>
      <c r="BA73" s="137">
        <v>49.62</v>
      </c>
      <c r="BB73" s="137">
        <v>53.84</v>
      </c>
      <c r="BC73" s="137">
        <v>509.71</v>
      </c>
      <c r="BD73" s="137">
        <v>3624.59</v>
      </c>
      <c r="BE73" s="137">
        <v>602.20000000000005</v>
      </c>
      <c r="BF73" s="137">
        <v>4636.5200000000004</v>
      </c>
      <c r="BG73" s="137">
        <v>1252.81</v>
      </c>
      <c r="BH73" s="137">
        <v>342.29</v>
      </c>
      <c r="BI73" s="137">
        <v>274.17</v>
      </c>
      <c r="BJ73" s="137">
        <v>163.28</v>
      </c>
      <c r="BK73" s="137">
        <v>63.25</v>
      </c>
      <c r="BL73" s="137">
        <v>3187.59</v>
      </c>
      <c r="BM73" s="137">
        <v>26276.86</v>
      </c>
      <c r="BN73" s="137" t="s">
        <v>301</v>
      </c>
      <c r="BO73" s="137" t="s">
        <v>301</v>
      </c>
      <c r="BP73" s="137">
        <v>201903.4</v>
      </c>
      <c r="BQ73" s="137" t="s">
        <v>301</v>
      </c>
      <c r="BR73" s="137" t="s">
        <v>301</v>
      </c>
      <c r="BS73" s="137" t="s">
        <v>301</v>
      </c>
      <c r="BT73" s="137" t="s">
        <v>301</v>
      </c>
      <c r="BU73" s="137" t="s">
        <v>301</v>
      </c>
      <c r="BV73" s="137" t="s">
        <v>301</v>
      </c>
      <c r="BW73" s="137" t="s">
        <v>301</v>
      </c>
    </row>
    <row r="74" spans="1:75" x14ac:dyDescent="0.2">
      <c r="A74" s="137" t="s">
        <v>362</v>
      </c>
      <c r="B74" s="137" t="s">
        <v>301</v>
      </c>
      <c r="C74" s="137" t="s">
        <v>301</v>
      </c>
      <c r="D74" s="137" t="s">
        <v>301</v>
      </c>
      <c r="E74" s="137" t="s">
        <v>301</v>
      </c>
      <c r="F74" s="138" t="s">
        <v>367</v>
      </c>
      <c r="G74" s="137" t="s">
        <v>301</v>
      </c>
      <c r="H74" s="137" t="s">
        <v>301</v>
      </c>
      <c r="I74" s="137" t="s">
        <v>301</v>
      </c>
      <c r="J74" s="137" t="s">
        <v>301</v>
      </c>
      <c r="K74" s="137" t="s">
        <v>301</v>
      </c>
      <c r="L74" s="137" t="s">
        <v>301</v>
      </c>
      <c r="M74" s="137" t="s">
        <v>301</v>
      </c>
      <c r="N74" s="137" t="s">
        <v>301</v>
      </c>
      <c r="O74" s="137" t="s">
        <v>301</v>
      </c>
      <c r="P74" s="137" t="s">
        <v>301</v>
      </c>
      <c r="Q74" s="137" t="s">
        <v>301</v>
      </c>
      <c r="R74" s="137" t="s">
        <v>301</v>
      </c>
      <c r="S74" s="137" t="s">
        <v>301</v>
      </c>
      <c r="T74" s="137" t="s">
        <v>301</v>
      </c>
      <c r="U74" s="137" t="s">
        <v>301</v>
      </c>
      <c r="V74" s="137" t="s">
        <v>301</v>
      </c>
      <c r="W74" s="137" t="s">
        <v>301</v>
      </c>
      <c r="X74" s="137" t="s">
        <v>301</v>
      </c>
      <c r="Y74" s="137" t="s">
        <v>301</v>
      </c>
      <c r="Z74" s="137" t="s">
        <v>301</v>
      </c>
      <c r="AA74" s="137" t="s">
        <v>301</v>
      </c>
      <c r="AB74" s="138" t="s">
        <v>301</v>
      </c>
      <c r="AC74" s="137" t="s">
        <v>301</v>
      </c>
      <c r="AD74" s="137" t="s">
        <v>301</v>
      </c>
      <c r="AE74" s="137" t="s">
        <v>301</v>
      </c>
      <c r="AF74" s="137" t="s">
        <v>301</v>
      </c>
      <c r="AG74" s="137" t="s">
        <v>301</v>
      </c>
      <c r="AH74" s="137" t="s">
        <v>301</v>
      </c>
      <c r="AI74" s="137" t="s">
        <v>301</v>
      </c>
      <c r="AJ74" s="137" t="s">
        <v>301</v>
      </c>
      <c r="AK74" s="137" t="s">
        <v>301</v>
      </c>
      <c r="AL74" s="137" t="s">
        <v>301</v>
      </c>
      <c r="AM74" s="137" t="s">
        <v>301</v>
      </c>
      <c r="AN74" s="137" t="s">
        <v>301</v>
      </c>
      <c r="AO74" s="137" t="s">
        <v>301</v>
      </c>
      <c r="AP74" s="137" t="s">
        <v>301</v>
      </c>
      <c r="AQ74" s="137" t="s">
        <v>301</v>
      </c>
      <c r="AR74" s="137" t="s">
        <v>301</v>
      </c>
      <c r="AS74" s="137" t="s">
        <v>301</v>
      </c>
      <c r="AT74" s="137" t="s">
        <v>301</v>
      </c>
      <c r="AU74" s="137" t="s">
        <v>301</v>
      </c>
      <c r="AV74" s="137" t="s">
        <v>301</v>
      </c>
      <c r="AW74" s="137" t="s">
        <v>301</v>
      </c>
      <c r="AX74" s="137" t="s">
        <v>301</v>
      </c>
      <c r="AY74" s="137" t="s">
        <v>301</v>
      </c>
      <c r="AZ74" s="137" t="s">
        <v>301</v>
      </c>
      <c r="BA74" s="137" t="s">
        <v>301</v>
      </c>
      <c r="BB74" s="137" t="s">
        <v>301</v>
      </c>
      <c r="BC74" s="137" t="s">
        <v>301</v>
      </c>
      <c r="BD74" s="137" t="s">
        <v>301</v>
      </c>
      <c r="BE74" s="137" t="s">
        <v>301</v>
      </c>
      <c r="BF74" s="137" t="s">
        <v>301</v>
      </c>
      <c r="BG74" s="137" t="s">
        <v>301</v>
      </c>
      <c r="BH74" s="137" t="s">
        <v>301</v>
      </c>
      <c r="BI74" s="137" t="s">
        <v>301</v>
      </c>
      <c r="BJ74" s="137" t="s">
        <v>301</v>
      </c>
      <c r="BK74" s="137" t="s">
        <v>301</v>
      </c>
      <c r="BL74" s="137" t="s">
        <v>301</v>
      </c>
      <c r="BM74" s="137">
        <v>0</v>
      </c>
      <c r="BN74" s="137" t="s">
        <v>301</v>
      </c>
      <c r="BO74" s="137" t="s">
        <v>301</v>
      </c>
      <c r="BP74" s="137">
        <v>21956.5</v>
      </c>
      <c r="BQ74" s="137" t="s">
        <v>301</v>
      </c>
      <c r="BR74" s="137" t="s">
        <v>301</v>
      </c>
      <c r="BS74" s="137" t="s">
        <v>301</v>
      </c>
      <c r="BT74" s="137" t="s">
        <v>301</v>
      </c>
      <c r="BU74" s="137" t="s">
        <v>301</v>
      </c>
      <c r="BV74" s="137" t="s">
        <v>301</v>
      </c>
      <c r="BW74" s="137" t="s">
        <v>301</v>
      </c>
    </row>
    <row r="75" spans="1:75" x14ac:dyDescent="0.2">
      <c r="A75" s="137" t="s">
        <v>363</v>
      </c>
      <c r="B75" s="137" t="s">
        <v>301</v>
      </c>
      <c r="C75" s="137" t="s">
        <v>301</v>
      </c>
      <c r="D75" s="137" t="s">
        <v>301</v>
      </c>
      <c r="E75" s="137" t="s">
        <v>301</v>
      </c>
      <c r="F75" s="138" t="s">
        <v>367</v>
      </c>
      <c r="G75" s="137" t="s">
        <v>301</v>
      </c>
      <c r="H75" s="137" t="s">
        <v>301</v>
      </c>
      <c r="I75" s="137" t="s">
        <v>301</v>
      </c>
      <c r="J75" s="137" t="s">
        <v>301</v>
      </c>
      <c r="K75" s="137" t="s">
        <v>301</v>
      </c>
      <c r="L75" s="137" t="s">
        <v>301</v>
      </c>
      <c r="M75" s="137" t="s">
        <v>301</v>
      </c>
      <c r="N75" s="137" t="s">
        <v>301</v>
      </c>
      <c r="O75" s="137" t="s">
        <v>301</v>
      </c>
      <c r="P75" s="137" t="s">
        <v>301</v>
      </c>
      <c r="Q75" s="137" t="s">
        <v>301</v>
      </c>
      <c r="R75" s="137" t="s">
        <v>301</v>
      </c>
      <c r="S75" s="137" t="s">
        <v>301</v>
      </c>
      <c r="T75" s="137" t="s">
        <v>301</v>
      </c>
      <c r="U75" s="137" t="s">
        <v>301</v>
      </c>
      <c r="V75" s="137" t="s">
        <v>301</v>
      </c>
      <c r="W75" s="137" t="s">
        <v>301</v>
      </c>
      <c r="X75" s="137" t="s">
        <v>301</v>
      </c>
      <c r="Y75" s="137" t="s">
        <v>301</v>
      </c>
      <c r="Z75" s="137" t="s">
        <v>301</v>
      </c>
      <c r="AA75" s="137" t="s">
        <v>301</v>
      </c>
      <c r="AB75" s="138" t="s">
        <v>301</v>
      </c>
      <c r="AC75" s="137" t="s">
        <v>301</v>
      </c>
      <c r="AD75" s="137" t="s">
        <v>301</v>
      </c>
      <c r="AE75" s="137" t="s">
        <v>301</v>
      </c>
      <c r="AF75" s="137" t="s">
        <v>301</v>
      </c>
      <c r="AG75" s="137" t="s">
        <v>301</v>
      </c>
      <c r="AH75" s="137" t="s">
        <v>301</v>
      </c>
      <c r="AI75" s="137" t="s">
        <v>301</v>
      </c>
      <c r="AJ75" s="137" t="s">
        <v>301</v>
      </c>
      <c r="AK75" s="137" t="s">
        <v>301</v>
      </c>
      <c r="AL75" s="137" t="s">
        <v>301</v>
      </c>
      <c r="AM75" s="137" t="s">
        <v>301</v>
      </c>
      <c r="AN75" s="137" t="s">
        <v>301</v>
      </c>
      <c r="AO75" s="137" t="s">
        <v>301</v>
      </c>
      <c r="AP75" s="137" t="s">
        <v>301</v>
      </c>
      <c r="AQ75" s="137" t="s">
        <v>301</v>
      </c>
      <c r="AR75" s="137" t="s">
        <v>301</v>
      </c>
      <c r="AS75" s="137" t="s">
        <v>301</v>
      </c>
      <c r="AT75" s="137" t="s">
        <v>301</v>
      </c>
      <c r="AU75" s="137" t="s">
        <v>301</v>
      </c>
      <c r="AV75" s="137" t="s">
        <v>301</v>
      </c>
      <c r="AW75" s="137" t="s">
        <v>301</v>
      </c>
      <c r="AX75" s="137" t="s">
        <v>301</v>
      </c>
      <c r="AY75" s="137" t="s">
        <v>301</v>
      </c>
      <c r="AZ75" s="137" t="s">
        <v>301</v>
      </c>
      <c r="BA75" s="137" t="s">
        <v>301</v>
      </c>
      <c r="BB75" s="137" t="s">
        <v>301</v>
      </c>
      <c r="BC75" s="137" t="s">
        <v>301</v>
      </c>
      <c r="BD75" s="137" t="s">
        <v>301</v>
      </c>
      <c r="BE75" s="137" t="s">
        <v>301</v>
      </c>
      <c r="BF75" s="137" t="s">
        <v>301</v>
      </c>
      <c r="BG75" s="137" t="s">
        <v>301</v>
      </c>
      <c r="BH75" s="137" t="s">
        <v>301</v>
      </c>
      <c r="BI75" s="137" t="s">
        <v>301</v>
      </c>
      <c r="BJ75" s="137" t="s">
        <v>301</v>
      </c>
      <c r="BK75" s="137" t="s">
        <v>301</v>
      </c>
      <c r="BL75" s="137" t="s">
        <v>301</v>
      </c>
      <c r="BM75" s="137">
        <v>0</v>
      </c>
      <c r="BN75" s="137" t="s">
        <v>301</v>
      </c>
      <c r="BO75" s="137" t="s">
        <v>301</v>
      </c>
      <c r="BP75" s="137" t="s">
        <v>301</v>
      </c>
      <c r="BQ75" s="137" t="s">
        <v>301</v>
      </c>
      <c r="BR75" s="137" t="s">
        <v>301</v>
      </c>
      <c r="BS75" s="137" t="s">
        <v>301</v>
      </c>
      <c r="BT75" s="137" t="s">
        <v>301</v>
      </c>
      <c r="BU75" s="137" t="s">
        <v>301</v>
      </c>
      <c r="BV75" s="137" t="s">
        <v>301</v>
      </c>
      <c r="BW75" s="137">
        <v>3945.71</v>
      </c>
    </row>
    <row r="76" spans="1:75" x14ac:dyDescent="0.2">
      <c r="A76" s="137" t="s">
        <v>364</v>
      </c>
      <c r="B76" s="137">
        <v>1416.23</v>
      </c>
      <c r="C76" s="137">
        <v>16.329999999999998</v>
      </c>
      <c r="D76" s="137">
        <v>2.37</v>
      </c>
      <c r="E76" s="137">
        <v>2170.1999999999998</v>
      </c>
      <c r="F76" s="138">
        <v>2378.83</v>
      </c>
      <c r="G76" s="137">
        <v>214.08</v>
      </c>
      <c r="H76" s="137">
        <v>213.77</v>
      </c>
      <c r="I76" s="137">
        <v>5391.38</v>
      </c>
      <c r="J76" s="137">
        <v>273.89</v>
      </c>
      <c r="K76" s="137">
        <v>1867.08</v>
      </c>
      <c r="L76" s="137">
        <v>2044.49</v>
      </c>
      <c r="M76" s="137">
        <v>821.25</v>
      </c>
      <c r="N76" s="137">
        <v>789.46</v>
      </c>
      <c r="O76" s="137">
        <v>386.33</v>
      </c>
      <c r="P76" s="137">
        <v>37862.82</v>
      </c>
      <c r="Q76" s="137">
        <v>1004.82</v>
      </c>
      <c r="R76" s="137">
        <v>1232.72</v>
      </c>
      <c r="S76" s="137">
        <v>440.29</v>
      </c>
      <c r="T76" s="137">
        <v>1420.73</v>
      </c>
      <c r="U76" s="137">
        <v>2223.4499999999998</v>
      </c>
      <c r="V76" s="137">
        <v>775.46</v>
      </c>
      <c r="W76" s="137">
        <v>866.85</v>
      </c>
      <c r="X76" s="137">
        <v>73.38</v>
      </c>
      <c r="Y76" s="137">
        <v>9583.48</v>
      </c>
      <c r="Z76" s="137">
        <v>1134.8900000000001</v>
      </c>
      <c r="AA76" s="137">
        <v>112.42</v>
      </c>
      <c r="AB76" s="138">
        <v>4687.01</v>
      </c>
      <c r="AC76" s="137">
        <v>1316.22</v>
      </c>
      <c r="AD76" s="137">
        <v>5929.97</v>
      </c>
      <c r="AE76" s="137">
        <v>5053.95</v>
      </c>
      <c r="AF76" s="137">
        <v>1897.95</v>
      </c>
      <c r="AG76" s="137">
        <v>2226.8000000000002</v>
      </c>
      <c r="AH76" s="137">
        <v>15206.19</v>
      </c>
      <c r="AI76" s="137">
        <v>4433.8900000000003</v>
      </c>
      <c r="AJ76" s="137">
        <v>1548.47</v>
      </c>
      <c r="AK76" s="137">
        <v>2839.77</v>
      </c>
      <c r="AL76" s="137">
        <v>1056.3</v>
      </c>
      <c r="AM76" s="137">
        <v>1299.71</v>
      </c>
      <c r="AN76" s="137">
        <v>7876.74</v>
      </c>
      <c r="AO76" s="137">
        <v>2193.9499999999998</v>
      </c>
      <c r="AP76" s="137">
        <v>39680.04</v>
      </c>
      <c r="AQ76" s="137">
        <v>1612.97</v>
      </c>
      <c r="AR76" s="137">
        <v>421.3</v>
      </c>
      <c r="AS76" s="137" t="s">
        <v>301</v>
      </c>
      <c r="AT76" s="137">
        <v>5792.5</v>
      </c>
      <c r="AU76" s="137">
        <v>3183.57</v>
      </c>
      <c r="AV76" s="137">
        <v>1071.1600000000001</v>
      </c>
      <c r="AW76" s="137">
        <v>357.87</v>
      </c>
      <c r="AX76" s="137">
        <v>422.43</v>
      </c>
      <c r="AY76" s="137">
        <v>519.95000000000005</v>
      </c>
      <c r="AZ76" s="137">
        <v>932.21</v>
      </c>
      <c r="BA76" s="137">
        <v>907.35</v>
      </c>
      <c r="BB76" s="137">
        <v>51.15</v>
      </c>
      <c r="BC76" s="137">
        <v>723.25</v>
      </c>
      <c r="BD76" s="137">
        <v>10700.56</v>
      </c>
      <c r="BE76" s="137">
        <v>2111.06</v>
      </c>
      <c r="BF76" s="137">
        <v>3.96</v>
      </c>
      <c r="BG76" s="137">
        <v>339.23</v>
      </c>
      <c r="BH76" s="137">
        <v>363.18</v>
      </c>
      <c r="BI76" s="137">
        <v>1300.3900000000001</v>
      </c>
      <c r="BJ76" s="137">
        <v>277.2</v>
      </c>
      <c r="BK76" s="137">
        <v>79.510000000000005</v>
      </c>
      <c r="BL76" s="137">
        <v>8111.29</v>
      </c>
      <c r="BM76" s="137">
        <v>211246.05000000005</v>
      </c>
      <c r="BN76" s="137" t="s">
        <v>301</v>
      </c>
      <c r="BO76" s="137" t="s">
        <v>301</v>
      </c>
      <c r="BP76" s="137">
        <v>185043.95</v>
      </c>
      <c r="BQ76" s="137" t="s">
        <v>301</v>
      </c>
      <c r="BR76" s="137" t="s">
        <v>301</v>
      </c>
      <c r="BS76" s="137" t="s">
        <v>301</v>
      </c>
      <c r="BT76" s="137">
        <v>-97409.49</v>
      </c>
      <c r="BU76" s="137">
        <v>7756.26</v>
      </c>
      <c r="BV76" s="137" t="s">
        <v>301</v>
      </c>
      <c r="BW76" s="137">
        <v>52200.06</v>
      </c>
    </row>
    <row r="77" spans="1:75" x14ac:dyDescent="0.2">
      <c r="A77" s="137" t="s">
        <v>366</v>
      </c>
      <c r="B77" s="137">
        <v>263730.39999999997</v>
      </c>
      <c r="C77" s="137">
        <v>10277.710000000003</v>
      </c>
      <c r="D77" s="137">
        <v>1445.4900000000002</v>
      </c>
      <c r="E77" s="137">
        <v>303448.98999999993</v>
      </c>
      <c r="F77" s="138">
        <v>686495.60000000009</v>
      </c>
      <c r="G77" s="137">
        <v>41492.880000000012</v>
      </c>
      <c r="H77" s="137">
        <v>80963.320000000007</v>
      </c>
      <c r="I77" s="137">
        <v>124269.44999999995</v>
      </c>
      <c r="J77" s="137">
        <v>43240.500000000015</v>
      </c>
      <c r="K77" s="137">
        <v>456053.26000000007</v>
      </c>
      <c r="L77" s="137">
        <v>338404.12000000029</v>
      </c>
      <c r="M77" s="137">
        <v>110756.10999999999</v>
      </c>
      <c r="N77" s="137">
        <v>169895.39</v>
      </c>
      <c r="O77" s="137">
        <v>91895.020000000048</v>
      </c>
      <c r="P77" s="137">
        <v>164397.3600000001</v>
      </c>
      <c r="Q77" s="137">
        <v>242344.40999999992</v>
      </c>
      <c r="R77" s="137">
        <v>66635.940000000017</v>
      </c>
      <c r="S77" s="137">
        <v>62891.679999999993</v>
      </c>
      <c r="T77" s="137">
        <v>230582.40000000005</v>
      </c>
      <c r="U77" s="137">
        <v>521066.94999999995</v>
      </c>
      <c r="V77" s="137">
        <v>182327.77</v>
      </c>
      <c r="W77" s="137">
        <v>108787.37</v>
      </c>
      <c r="X77" s="137">
        <v>19619.359999999993</v>
      </c>
      <c r="Y77" s="137">
        <v>223496.37000000002</v>
      </c>
      <c r="Z77" s="137">
        <v>3582.7299999999996</v>
      </c>
      <c r="AA77" s="137">
        <v>51712.78</v>
      </c>
      <c r="AB77" s="138">
        <v>795975.61</v>
      </c>
      <c r="AC77" s="137">
        <v>229234.40000000005</v>
      </c>
      <c r="AD77" s="137">
        <v>776380.54999999993</v>
      </c>
      <c r="AE77" s="137">
        <v>636709.2699999999</v>
      </c>
      <c r="AF77" s="137">
        <v>316799.27000000008</v>
      </c>
      <c r="AG77" s="137">
        <v>43144.179999999993</v>
      </c>
      <c r="AH77" s="137">
        <v>89094.73</v>
      </c>
      <c r="AI77" s="137">
        <v>145959.36999999997</v>
      </c>
      <c r="AJ77" s="137">
        <v>61265.660000000011</v>
      </c>
      <c r="AK77" s="137">
        <v>521556.28000000009</v>
      </c>
      <c r="AL77" s="137">
        <v>114513.93999999999</v>
      </c>
      <c r="AM77" s="137">
        <v>177935.25</v>
      </c>
      <c r="AN77" s="137">
        <v>307621.68999999994</v>
      </c>
      <c r="AO77" s="137">
        <v>304182.65999999997</v>
      </c>
      <c r="AP77" s="137">
        <v>587712.70999999985</v>
      </c>
      <c r="AQ77" s="137">
        <v>538058.75</v>
      </c>
      <c r="AR77" s="137">
        <v>209646.44</v>
      </c>
      <c r="AS77" s="137">
        <v>211967.91999999998</v>
      </c>
      <c r="AT77" s="137">
        <v>827595.64000000013</v>
      </c>
      <c r="AU77" s="137">
        <v>469975.01999999996</v>
      </c>
      <c r="AV77" s="137">
        <v>142130.53999999998</v>
      </c>
      <c r="AW77" s="137">
        <v>129022.26</v>
      </c>
      <c r="AX77" s="137">
        <v>73732.66</v>
      </c>
      <c r="AY77" s="137">
        <v>79944.630000000034</v>
      </c>
      <c r="AZ77" s="137">
        <v>123876.23999999999</v>
      </c>
      <c r="BA77" s="137">
        <v>154698.53</v>
      </c>
      <c r="BB77" s="137">
        <v>35802.69</v>
      </c>
      <c r="BC77" s="137">
        <v>243937.92999999993</v>
      </c>
      <c r="BD77" s="137">
        <v>1116574.3499999999</v>
      </c>
      <c r="BE77" s="137">
        <v>358538.19000000006</v>
      </c>
      <c r="BF77" s="137">
        <v>791917.54</v>
      </c>
      <c r="BG77" s="137">
        <v>189638.85000000006</v>
      </c>
      <c r="BH77" s="137">
        <v>64170.57999999998</v>
      </c>
      <c r="BI77" s="137">
        <v>64558.35</v>
      </c>
      <c r="BJ77" s="137">
        <v>137412.48000000004</v>
      </c>
      <c r="BK77" s="137">
        <v>10649.140000000001</v>
      </c>
      <c r="BL77" s="137">
        <v>63481.489999999991</v>
      </c>
      <c r="BM77" s="137">
        <v>15745229.150000002</v>
      </c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</row>
    <row r="78" spans="1:75" x14ac:dyDescent="0.2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>
        <v>15745229.149999999</v>
      </c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8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baseColWidth="10" defaultColWidth="10.7109375" defaultRowHeight="12.75" outlineLevelCol="1" x14ac:dyDescent="0.2"/>
  <cols>
    <col min="1" max="1" width="20.5703125" customWidth="1" outlineLevel="1"/>
    <col min="2" max="2" width="8.42578125" customWidth="1" outlineLevel="1"/>
    <col min="3" max="7" width="6.7109375" customWidth="1" outlineLevel="1"/>
    <col min="8" max="8" width="8" customWidth="1" outlineLevel="1"/>
    <col min="9" max="10" width="6.7109375" customWidth="1" outlineLevel="1"/>
    <col min="11" max="11" width="6.42578125" customWidth="1" outlineLevel="1"/>
    <col min="12" max="12" width="6.7109375" customWidth="1" outlineLevel="1"/>
    <col min="13" max="13" width="5.7109375" customWidth="1" outlineLevel="1"/>
    <col min="14" max="14" width="7.7109375" customWidth="1" outlineLevel="1"/>
    <col min="15" max="16" width="5.42578125" customWidth="1" outlineLevel="1"/>
    <col min="17" max="18" width="6.7109375" customWidth="1" outlineLevel="1"/>
    <col min="19" max="19" width="7.7109375" customWidth="1" outlineLevel="1"/>
  </cols>
  <sheetData>
    <row r="1" spans="1:22" ht="12.75" customHeight="1" x14ac:dyDescent="0.2">
      <c r="A1" s="25"/>
      <c r="B1" s="17"/>
      <c r="C1" s="1000" t="s">
        <v>92</v>
      </c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0"/>
    </row>
    <row r="2" spans="1:22" ht="12.75" customHeight="1" x14ac:dyDescent="0.2">
      <c r="A2" s="17"/>
      <c r="C2" s="1001" t="s">
        <v>8</v>
      </c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</row>
    <row r="3" spans="1:22" ht="12.75" customHeight="1" x14ac:dyDescent="0.2">
      <c r="A3" s="1002" t="s">
        <v>11</v>
      </c>
      <c r="B3" s="1002"/>
      <c r="C3" s="1003" t="s">
        <v>93</v>
      </c>
      <c r="D3" s="1003"/>
      <c r="E3" s="1003"/>
      <c r="F3" s="1003"/>
      <c r="G3" s="1003"/>
      <c r="H3" s="1003"/>
      <c r="I3" s="1003" t="s">
        <v>94</v>
      </c>
      <c r="J3" s="1003"/>
      <c r="K3" s="1003"/>
      <c r="L3" s="1003"/>
      <c r="M3" s="1003"/>
      <c r="N3" s="1003"/>
      <c r="O3" s="19"/>
      <c r="P3" s="19"/>
      <c r="Q3" s="19"/>
      <c r="R3" s="19"/>
      <c r="S3" s="19"/>
      <c r="T3" s="19"/>
      <c r="U3" s="19"/>
      <c r="V3" s="19"/>
    </row>
    <row r="4" spans="1:22" ht="132.75" customHeight="1" x14ac:dyDescent="0.2">
      <c r="A4" s="1002"/>
      <c r="B4" s="1002"/>
      <c r="C4" s="18" t="s">
        <v>95</v>
      </c>
      <c r="D4" s="18" t="s">
        <v>96</v>
      </c>
      <c r="E4" s="18" t="s">
        <v>97</v>
      </c>
      <c r="F4" s="18" t="s">
        <v>98</v>
      </c>
      <c r="G4" s="18" t="s">
        <v>99</v>
      </c>
      <c r="H4" s="26" t="s">
        <v>100</v>
      </c>
      <c r="I4" s="18" t="s">
        <v>101</v>
      </c>
      <c r="J4" s="18" t="s">
        <v>102</v>
      </c>
      <c r="K4" s="18" t="s">
        <v>103</v>
      </c>
      <c r="L4" s="18" t="s">
        <v>104</v>
      </c>
      <c r="M4" s="18" t="s">
        <v>99</v>
      </c>
      <c r="N4" s="26" t="s">
        <v>105</v>
      </c>
      <c r="O4" s="18" t="s">
        <v>106</v>
      </c>
      <c r="P4" s="18" t="s">
        <v>107</v>
      </c>
      <c r="Q4" s="18" t="s">
        <v>108</v>
      </c>
      <c r="R4" s="18" t="s">
        <v>109</v>
      </c>
      <c r="S4" s="18" t="s">
        <v>110</v>
      </c>
      <c r="T4" s="19"/>
      <c r="U4" s="19"/>
      <c r="V4" s="19"/>
    </row>
    <row r="5" spans="1:22" ht="12.75" customHeight="1" x14ac:dyDescent="0.2">
      <c r="A5" s="20" t="s">
        <v>12</v>
      </c>
      <c r="B5" s="21" t="s">
        <v>13</v>
      </c>
      <c r="C5" s="22">
        <v>40238.300000000003</v>
      </c>
      <c r="D5" s="23"/>
      <c r="E5" s="23"/>
      <c r="F5" s="23"/>
      <c r="G5" s="23"/>
      <c r="H5" s="24">
        <v>40238.300000000003</v>
      </c>
      <c r="I5" s="22">
        <v>1044</v>
      </c>
      <c r="J5" s="23"/>
      <c r="K5" s="23"/>
      <c r="L5" s="23"/>
      <c r="M5" s="23"/>
      <c r="N5" s="24">
        <v>1044</v>
      </c>
      <c r="O5" s="23"/>
      <c r="P5" s="23">
        <v>6668</v>
      </c>
      <c r="Q5" s="23">
        <v>7712</v>
      </c>
      <c r="R5" s="23">
        <v>17313</v>
      </c>
      <c r="S5" s="24">
        <v>65263.3</v>
      </c>
      <c r="T5" s="19"/>
      <c r="U5" s="19"/>
      <c r="V5" s="19"/>
    </row>
    <row r="6" spans="1:22" ht="12.75" customHeight="1" x14ac:dyDescent="0.2">
      <c r="A6" s="20" t="s">
        <v>14</v>
      </c>
      <c r="B6" s="21" t="s">
        <v>15</v>
      </c>
      <c r="C6" s="23">
        <v>22</v>
      </c>
      <c r="D6" s="23"/>
      <c r="E6" s="23"/>
      <c r="F6" s="23"/>
      <c r="G6" s="23"/>
      <c r="H6" s="24">
        <v>22</v>
      </c>
      <c r="I6" s="23"/>
      <c r="J6" s="23"/>
      <c r="K6" s="23"/>
      <c r="L6" s="23"/>
      <c r="M6" s="23"/>
      <c r="N6" s="24"/>
      <c r="O6" s="23"/>
      <c r="P6" s="23">
        <v>928</v>
      </c>
      <c r="Q6" s="23">
        <v>928</v>
      </c>
      <c r="R6" s="23">
        <v>6252</v>
      </c>
      <c r="S6" s="24">
        <v>7202</v>
      </c>
      <c r="T6" s="19"/>
      <c r="U6" s="19"/>
      <c r="V6" s="19"/>
    </row>
    <row r="7" spans="1:22" ht="12.75" customHeight="1" x14ac:dyDescent="0.2">
      <c r="A7" s="20" t="s">
        <v>16</v>
      </c>
      <c r="B7" s="21" t="s">
        <v>17</v>
      </c>
      <c r="C7" s="23">
        <v>198660.6</v>
      </c>
      <c r="D7" s="23"/>
      <c r="E7" s="23">
        <v>411</v>
      </c>
      <c r="F7" s="23">
        <v>411</v>
      </c>
      <c r="G7" s="23"/>
      <c r="H7" s="24">
        <v>199071.6</v>
      </c>
      <c r="I7" s="23"/>
      <c r="J7" s="23"/>
      <c r="K7" s="23"/>
      <c r="L7" s="23"/>
      <c r="M7" s="23"/>
      <c r="N7" s="24"/>
      <c r="O7" s="23"/>
      <c r="P7" s="23">
        <v>556</v>
      </c>
      <c r="Q7" s="23">
        <v>556</v>
      </c>
      <c r="R7" s="23">
        <v>54316</v>
      </c>
      <c r="S7" s="24">
        <v>253943.6</v>
      </c>
      <c r="T7" s="19"/>
      <c r="U7" s="19"/>
      <c r="V7" s="19"/>
    </row>
    <row r="8" spans="1:22" ht="12.75" customHeight="1" x14ac:dyDescent="0.2">
      <c r="A8" s="20" t="s">
        <v>18</v>
      </c>
      <c r="B8" s="21" t="s">
        <v>19</v>
      </c>
      <c r="C8" s="23">
        <v>47814.8</v>
      </c>
      <c r="D8" s="23"/>
      <c r="E8" s="23">
        <v>75</v>
      </c>
      <c r="F8" s="23">
        <v>75</v>
      </c>
      <c r="G8" s="23"/>
      <c r="H8" s="24">
        <v>47889.8</v>
      </c>
      <c r="I8" s="23"/>
      <c r="J8" s="23"/>
      <c r="K8" s="23"/>
      <c r="L8" s="23"/>
      <c r="M8" s="23"/>
      <c r="N8" s="24"/>
      <c r="O8" s="23"/>
      <c r="P8" s="23">
        <v>-620.9</v>
      </c>
      <c r="Q8" s="23">
        <v>-620.9</v>
      </c>
      <c r="R8" s="23">
        <v>29645</v>
      </c>
      <c r="S8" s="24">
        <v>76913.899999999994</v>
      </c>
      <c r="T8" s="19"/>
      <c r="U8" s="19"/>
      <c r="V8" s="19"/>
    </row>
    <row r="9" spans="1:22" ht="12.75" customHeight="1" x14ac:dyDescent="0.2">
      <c r="A9" s="20" t="s">
        <v>20</v>
      </c>
      <c r="B9" s="21" t="s">
        <v>21</v>
      </c>
      <c r="C9" s="23">
        <v>7437.3</v>
      </c>
      <c r="D9" s="23"/>
      <c r="E9" s="23"/>
      <c r="F9" s="23"/>
      <c r="G9" s="23"/>
      <c r="H9" s="24">
        <v>7437.3</v>
      </c>
      <c r="I9" s="23"/>
      <c r="J9" s="23"/>
      <c r="K9" s="23"/>
      <c r="L9" s="23"/>
      <c r="M9" s="23"/>
      <c r="N9" s="24"/>
      <c r="O9" s="23"/>
      <c r="P9" s="23">
        <v>-25.2</v>
      </c>
      <c r="Q9" s="23">
        <v>-25.2</v>
      </c>
      <c r="R9" s="23">
        <v>9347</v>
      </c>
      <c r="S9" s="24">
        <v>16759.099999999999</v>
      </c>
      <c r="T9" s="19"/>
      <c r="U9" s="19"/>
      <c r="V9" s="19"/>
    </row>
    <row r="10" spans="1:22" ht="12.75" customHeight="1" x14ac:dyDescent="0.2">
      <c r="A10" s="20" t="s">
        <v>22</v>
      </c>
      <c r="B10" s="21" t="s">
        <v>23</v>
      </c>
      <c r="C10" s="23">
        <v>47339.7</v>
      </c>
      <c r="D10" s="23"/>
      <c r="E10" s="23"/>
      <c r="F10" s="23"/>
      <c r="G10" s="23"/>
      <c r="H10" s="24">
        <v>47339.7</v>
      </c>
      <c r="I10" s="23"/>
      <c r="J10" s="23"/>
      <c r="K10" s="23"/>
      <c r="L10" s="23"/>
      <c r="M10" s="23"/>
      <c r="N10" s="24"/>
      <c r="O10" s="23"/>
      <c r="P10" s="23">
        <v>-412</v>
      </c>
      <c r="Q10" s="23">
        <v>-412</v>
      </c>
      <c r="R10" s="23">
        <v>9561</v>
      </c>
      <c r="S10" s="24">
        <v>56488.7</v>
      </c>
      <c r="T10" s="19"/>
      <c r="U10" s="19"/>
      <c r="V10" s="19"/>
    </row>
    <row r="11" spans="1:22" ht="12.75" customHeight="1" x14ac:dyDescent="0.2">
      <c r="A11" s="20" t="s">
        <v>24</v>
      </c>
      <c r="B11" s="21" t="s">
        <v>25</v>
      </c>
      <c r="C11" s="23">
        <v>23419.4</v>
      </c>
      <c r="D11" s="23"/>
      <c r="E11" s="23">
        <v>377</v>
      </c>
      <c r="F11" s="23">
        <v>377</v>
      </c>
      <c r="G11" s="23"/>
      <c r="H11" s="24">
        <v>23796.400000000001</v>
      </c>
      <c r="I11" s="23"/>
      <c r="J11" s="23"/>
      <c r="K11" s="23"/>
      <c r="L11" s="23"/>
      <c r="M11" s="23"/>
      <c r="N11" s="24"/>
      <c r="O11" s="23"/>
      <c r="P11" s="23">
        <v>-504.3</v>
      </c>
      <c r="Q11" s="23">
        <v>-504.3</v>
      </c>
      <c r="R11" s="23">
        <v>70424</v>
      </c>
      <c r="S11" s="24">
        <v>93716.1</v>
      </c>
      <c r="T11" s="19"/>
      <c r="U11" s="19"/>
      <c r="V11" s="19"/>
    </row>
    <row r="12" spans="1:22" ht="12.75" customHeight="1" x14ac:dyDescent="0.2">
      <c r="A12" s="20" t="s">
        <v>26</v>
      </c>
      <c r="B12" s="21" t="s">
        <v>27</v>
      </c>
      <c r="C12" s="23">
        <v>14011.9</v>
      </c>
      <c r="D12" s="23"/>
      <c r="E12" s="23">
        <v>29394</v>
      </c>
      <c r="F12" s="23">
        <v>29394</v>
      </c>
      <c r="G12" s="23"/>
      <c r="H12" s="24">
        <v>43405.9</v>
      </c>
      <c r="I12" s="23"/>
      <c r="J12" s="23"/>
      <c r="K12" s="23"/>
      <c r="L12" s="23"/>
      <c r="M12" s="23"/>
      <c r="N12" s="24"/>
      <c r="O12" s="23"/>
      <c r="P12" s="23">
        <v>770.3</v>
      </c>
      <c r="Q12" s="23">
        <v>770.3</v>
      </c>
      <c r="R12" s="23">
        <v>37099</v>
      </c>
      <c r="S12" s="24">
        <v>81275.199999999997</v>
      </c>
      <c r="T12" s="19"/>
      <c r="U12" s="19"/>
      <c r="V12" s="19"/>
    </row>
    <row r="13" spans="1:22" ht="12.75" customHeight="1" x14ac:dyDescent="0.2">
      <c r="A13" s="20" t="s">
        <v>28</v>
      </c>
      <c r="B13" s="21" t="s">
        <v>29</v>
      </c>
      <c r="C13" s="23">
        <v>11378.8</v>
      </c>
      <c r="D13" s="23"/>
      <c r="E13" s="23"/>
      <c r="F13" s="23"/>
      <c r="G13" s="23"/>
      <c r="H13" s="24">
        <v>11378.8</v>
      </c>
      <c r="I13" s="23"/>
      <c r="J13" s="23"/>
      <c r="K13" s="23"/>
      <c r="L13" s="23"/>
      <c r="M13" s="23"/>
      <c r="N13" s="24"/>
      <c r="O13" s="23"/>
      <c r="P13" s="23">
        <v>-345</v>
      </c>
      <c r="Q13" s="23">
        <v>-345</v>
      </c>
      <c r="R13" s="23">
        <v>21778</v>
      </c>
      <c r="S13" s="24">
        <v>32811.800000000003</v>
      </c>
      <c r="T13" s="19"/>
      <c r="U13" s="19"/>
      <c r="V13" s="19"/>
    </row>
    <row r="14" spans="1:22" ht="12.75" customHeight="1" x14ac:dyDescent="0.2">
      <c r="A14" s="20" t="s">
        <v>30</v>
      </c>
      <c r="B14" s="21" t="s">
        <v>31</v>
      </c>
      <c r="C14" s="23">
        <v>5491.6</v>
      </c>
      <c r="D14" s="23"/>
      <c r="E14" s="23"/>
      <c r="F14" s="23"/>
      <c r="G14" s="23"/>
      <c r="H14" s="24">
        <v>5491.6</v>
      </c>
      <c r="I14" s="23">
        <v>6074.4</v>
      </c>
      <c r="J14" s="23"/>
      <c r="K14" s="23">
        <v>296.39999999999998</v>
      </c>
      <c r="L14" s="23">
        <v>121.8</v>
      </c>
      <c r="M14" s="23"/>
      <c r="N14" s="24">
        <v>6492.6</v>
      </c>
      <c r="O14" s="23">
        <v>352.1</v>
      </c>
      <c r="P14" s="23">
        <v>307.39999999999998</v>
      </c>
      <c r="Q14" s="23">
        <v>7152.1</v>
      </c>
      <c r="R14" s="23">
        <v>34544</v>
      </c>
      <c r="S14" s="24">
        <v>47187.7</v>
      </c>
      <c r="T14" s="19"/>
      <c r="U14" s="19"/>
      <c r="V14" s="19"/>
    </row>
    <row r="15" spans="1:22" ht="12.75" customHeight="1" x14ac:dyDescent="0.2">
      <c r="A15" s="20" t="s">
        <v>32</v>
      </c>
      <c r="B15" s="21" t="s">
        <v>33</v>
      </c>
      <c r="C15" s="23">
        <v>19157.5</v>
      </c>
      <c r="D15" s="23"/>
      <c r="E15" s="23">
        <v>512</v>
      </c>
      <c r="F15" s="23">
        <v>512</v>
      </c>
      <c r="G15" s="23"/>
      <c r="H15" s="24">
        <v>19669.5</v>
      </c>
      <c r="I15" s="23">
        <v>10300.5</v>
      </c>
      <c r="J15" s="23"/>
      <c r="K15" s="23">
        <v>3163.3</v>
      </c>
      <c r="L15" s="23">
        <v>1002</v>
      </c>
      <c r="M15" s="23">
        <v>770.2</v>
      </c>
      <c r="N15" s="24">
        <v>15236</v>
      </c>
      <c r="O15" s="23"/>
      <c r="P15" s="23">
        <v>2199.6</v>
      </c>
      <c r="Q15" s="23">
        <v>17435.599999999999</v>
      </c>
      <c r="R15" s="23">
        <v>30210</v>
      </c>
      <c r="S15" s="24">
        <v>67315.100000000006</v>
      </c>
      <c r="T15" s="19"/>
      <c r="U15" s="19"/>
      <c r="V15" s="19"/>
    </row>
    <row r="16" spans="1:22" ht="12.75" customHeight="1" x14ac:dyDescent="0.2">
      <c r="A16" s="20" t="s">
        <v>34</v>
      </c>
      <c r="B16" s="21" t="s">
        <v>35</v>
      </c>
      <c r="C16" s="23">
        <v>14424.8</v>
      </c>
      <c r="D16" s="23"/>
      <c r="E16" s="23"/>
      <c r="F16" s="23"/>
      <c r="G16" s="23"/>
      <c r="H16" s="24">
        <v>14424.8</v>
      </c>
      <c r="I16" s="23">
        <v>3766.6</v>
      </c>
      <c r="J16" s="23"/>
      <c r="K16" s="23">
        <v>18.2</v>
      </c>
      <c r="L16" s="23">
        <v>145</v>
      </c>
      <c r="M16" s="23"/>
      <c r="N16" s="24">
        <v>3929.8</v>
      </c>
      <c r="O16" s="23"/>
      <c r="P16" s="23">
        <v>1580.7</v>
      </c>
      <c r="Q16" s="23">
        <v>5510.5</v>
      </c>
      <c r="R16" s="23">
        <v>21916</v>
      </c>
      <c r="S16" s="24">
        <v>41851.300000000003</v>
      </c>
      <c r="T16" s="19"/>
      <c r="U16" s="19"/>
      <c r="V16" s="19"/>
    </row>
    <row r="17" spans="1:22" ht="12.75" customHeight="1" x14ac:dyDescent="0.2">
      <c r="A17" s="20" t="s">
        <v>36</v>
      </c>
      <c r="B17" s="21" t="s">
        <v>37</v>
      </c>
      <c r="C17" s="23">
        <v>1940.3</v>
      </c>
      <c r="D17" s="23"/>
      <c r="E17" s="23"/>
      <c r="F17" s="23"/>
      <c r="G17" s="23"/>
      <c r="H17" s="24">
        <v>1940.3</v>
      </c>
      <c r="I17" s="23">
        <v>25906.6</v>
      </c>
      <c r="J17" s="23"/>
      <c r="K17" s="23">
        <v>819.8</v>
      </c>
      <c r="L17" s="23">
        <v>731</v>
      </c>
      <c r="M17" s="23">
        <v>193.5</v>
      </c>
      <c r="N17" s="24">
        <v>27650.9</v>
      </c>
      <c r="O17" s="23"/>
      <c r="P17" s="23">
        <v>736.6</v>
      </c>
      <c r="Q17" s="23">
        <v>28387.5</v>
      </c>
      <c r="R17" s="23">
        <v>39310</v>
      </c>
      <c r="S17" s="24">
        <v>69637.8</v>
      </c>
      <c r="T17" s="19"/>
      <c r="U17" s="19"/>
      <c r="V17" s="19"/>
    </row>
    <row r="18" spans="1:22" ht="12.75" customHeight="1" x14ac:dyDescent="0.2">
      <c r="A18" s="20" t="s">
        <v>38</v>
      </c>
      <c r="B18" s="21" t="s">
        <v>39</v>
      </c>
      <c r="C18" s="23">
        <v>69805</v>
      </c>
      <c r="D18" s="23"/>
      <c r="E18" s="23">
        <v>175</v>
      </c>
      <c r="F18" s="23">
        <v>175</v>
      </c>
      <c r="G18" s="23"/>
      <c r="H18" s="24">
        <v>69980</v>
      </c>
      <c r="I18" s="23">
        <v>35853.300000000003</v>
      </c>
      <c r="J18" s="23"/>
      <c r="K18" s="23">
        <v>620.5</v>
      </c>
      <c r="L18" s="23">
        <v>3547.6</v>
      </c>
      <c r="M18" s="23">
        <v>486.5</v>
      </c>
      <c r="N18" s="24">
        <v>40507.9</v>
      </c>
      <c r="O18" s="23"/>
      <c r="P18" s="23">
        <v>-2734.5</v>
      </c>
      <c r="Q18" s="23">
        <v>37773.4</v>
      </c>
      <c r="R18" s="23">
        <v>103371</v>
      </c>
      <c r="S18" s="24">
        <v>211124.4</v>
      </c>
      <c r="T18" s="19"/>
      <c r="U18" s="19"/>
      <c r="V18" s="19"/>
    </row>
    <row r="19" spans="1:22" ht="12.75" customHeight="1" x14ac:dyDescent="0.2">
      <c r="A19" s="20" t="s">
        <v>40</v>
      </c>
      <c r="B19" s="21" t="s">
        <v>41</v>
      </c>
      <c r="C19" s="23">
        <v>47255.7</v>
      </c>
      <c r="D19" s="23"/>
      <c r="E19" s="23">
        <v>4219.2</v>
      </c>
      <c r="F19" s="23">
        <v>4219.2</v>
      </c>
      <c r="G19" s="23"/>
      <c r="H19" s="24">
        <v>51474.9</v>
      </c>
      <c r="I19" s="23">
        <v>30032.5</v>
      </c>
      <c r="J19" s="23"/>
      <c r="K19" s="23">
        <v>851.5</v>
      </c>
      <c r="L19" s="23">
        <v>1847.7</v>
      </c>
      <c r="M19" s="23">
        <v>439.2</v>
      </c>
      <c r="N19" s="24">
        <v>33170.9</v>
      </c>
      <c r="O19" s="23">
        <v>968.5</v>
      </c>
      <c r="P19" s="23">
        <v>640</v>
      </c>
      <c r="Q19" s="23">
        <v>34779.4</v>
      </c>
      <c r="R19" s="23">
        <v>25627</v>
      </c>
      <c r="S19" s="24">
        <v>111881.3</v>
      </c>
      <c r="T19" s="19"/>
      <c r="U19" s="19"/>
      <c r="V19" s="19"/>
    </row>
    <row r="20" spans="1:22" ht="12.75" customHeight="1" x14ac:dyDescent="0.2">
      <c r="A20" s="20" t="s">
        <v>42</v>
      </c>
      <c r="B20" s="21" t="s">
        <v>43</v>
      </c>
      <c r="C20" s="23">
        <v>48937.9</v>
      </c>
      <c r="D20" s="23"/>
      <c r="E20" s="23">
        <v>468</v>
      </c>
      <c r="F20" s="23">
        <v>468</v>
      </c>
      <c r="G20" s="23"/>
      <c r="H20" s="24">
        <v>49405.9</v>
      </c>
      <c r="I20" s="23"/>
      <c r="J20" s="23"/>
      <c r="K20" s="23"/>
      <c r="L20" s="23"/>
      <c r="M20" s="23"/>
      <c r="N20" s="24"/>
      <c r="O20" s="23"/>
      <c r="P20" s="23"/>
      <c r="Q20" s="23"/>
      <c r="R20" s="23">
        <v>6074</v>
      </c>
      <c r="S20" s="24">
        <v>55479.9</v>
      </c>
      <c r="T20" s="19"/>
      <c r="U20" s="19"/>
      <c r="V20" s="19"/>
    </row>
    <row r="21" spans="1:22" ht="12.75" customHeight="1" x14ac:dyDescent="0.2">
      <c r="A21" s="20" t="s">
        <v>44</v>
      </c>
      <c r="B21" s="21" t="s">
        <v>45</v>
      </c>
      <c r="C21" s="23">
        <v>15331.1</v>
      </c>
      <c r="D21" s="23"/>
      <c r="E21" s="23"/>
      <c r="F21" s="23"/>
      <c r="G21" s="23"/>
      <c r="H21" s="24">
        <v>15331.1</v>
      </c>
      <c r="I21" s="23"/>
      <c r="J21" s="23"/>
      <c r="K21" s="23"/>
      <c r="L21" s="23"/>
      <c r="M21" s="23"/>
      <c r="N21" s="24"/>
      <c r="O21" s="23"/>
      <c r="P21" s="23"/>
      <c r="Q21" s="23"/>
      <c r="R21" s="23">
        <v>6254</v>
      </c>
      <c r="S21" s="24">
        <v>21585.1</v>
      </c>
      <c r="T21" s="19"/>
      <c r="U21" s="19"/>
      <c r="V21" s="19"/>
    </row>
    <row r="22" spans="1:22" ht="12.75" customHeight="1" x14ac:dyDescent="0.2">
      <c r="A22" s="20" t="s">
        <v>46</v>
      </c>
      <c r="B22" s="21" t="s">
        <v>47</v>
      </c>
      <c r="C22" s="23">
        <v>21747.1</v>
      </c>
      <c r="D22" s="23"/>
      <c r="E22" s="23"/>
      <c r="F22" s="23"/>
      <c r="G22" s="23"/>
      <c r="H22" s="24">
        <v>21747.1</v>
      </c>
      <c r="I22" s="23">
        <v>78669.3</v>
      </c>
      <c r="J22" s="23">
        <v>109517</v>
      </c>
      <c r="K22" s="23">
        <v>11557.5</v>
      </c>
      <c r="L22" s="23">
        <v>56405</v>
      </c>
      <c r="M22" s="23">
        <v>2890.6</v>
      </c>
      <c r="N22" s="24">
        <v>259039.4</v>
      </c>
      <c r="O22" s="23"/>
      <c r="P22" s="23">
        <v>-839.6</v>
      </c>
      <c r="Q22" s="23">
        <v>258199.8</v>
      </c>
      <c r="R22" s="23"/>
      <c r="S22" s="24">
        <v>279946.90000000002</v>
      </c>
      <c r="T22" s="19"/>
      <c r="U22" s="19"/>
      <c r="V22" s="19"/>
    </row>
    <row r="23" spans="1:22" ht="12.75" customHeight="1" x14ac:dyDescent="0.2">
      <c r="A23" s="20" t="s">
        <v>48</v>
      </c>
      <c r="B23" s="21" t="s">
        <v>49</v>
      </c>
      <c r="C23" s="23">
        <v>17242</v>
      </c>
      <c r="D23" s="23"/>
      <c r="E23" s="23"/>
      <c r="F23" s="23"/>
      <c r="G23" s="23"/>
      <c r="H23" s="24">
        <v>17242</v>
      </c>
      <c r="I23" s="23"/>
      <c r="J23" s="23"/>
      <c r="K23" s="23"/>
      <c r="L23" s="23"/>
      <c r="M23" s="23"/>
      <c r="N23" s="24"/>
      <c r="O23" s="23"/>
      <c r="P23" s="23"/>
      <c r="Q23" s="23"/>
      <c r="R23" s="23">
        <v>6548</v>
      </c>
      <c r="S23" s="24">
        <v>23790</v>
      </c>
      <c r="T23" s="19"/>
      <c r="U23" s="19"/>
      <c r="V23" s="19"/>
    </row>
    <row r="24" spans="1:22" ht="12.75" customHeight="1" x14ac:dyDescent="0.2">
      <c r="A24" s="20" t="s">
        <v>50</v>
      </c>
      <c r="B24" s="21" t="s">
        <v>51</v>
      </c>
      <c r="C24" s="23">
        <v>32388.5</v>
      </c>
      <c r="D24" s="23"/>
      <c r="E24" s="23">
        <v>3468.2</v>
      </c>
      <c r="F24" s="23">
        <v>3468.2</v>
      </c>
      <c r="G24" s="23"/>
      <c r="H24" s="24">
        <v>35856.699999999997</v>
      </c>
      <c r="I24" s="23"/>
      <c r="J24" s="23"/>
      <c r="K24" s="23"/>
      <c r="L24" s="23"/>
      <c r="M24" s="23"/>
      <c r="N24" s="24"/>
      <c r="O24" s="23"/>
      <c r="P24" s="23"/>
      <c r="Q24" s="23"/>
      <c r="R24" s="23">
        <v>53378</v>
      </c>
      <c r="S24" s="24">
        <v>89234.7</v>
      </c>
      <c r="T24" s="19"/>
      <c r="U24" s="19"/>
      <c r="V24" s="19"/>
    </row>
    <row r="25" spans="1:22" ht="12.75" customHeight="1" x14ac:dyDescent="0.2">
      <c r="A25" s="20" t="s">
        <v>52</v>
      </c>
      <c r="B25" s="21" t="s">
        <v>53</v>
      </c>
      <c r="C25" s="23">
        <v>77543.600000000006</v>
      </c>
      <c r="D25" s="23"/>
      <c r="E25" s="23">
        <v>912.9</v>
      </c>
      <c r="F25" s="23">
        <v>912.9</v>
      </c>
      <c r="G25" s="23"/>
      <c r="H25" s="24">
        <v>78456.5</v>
      </c>
      <c r="I25" s="23"/>
      <c r="J25" s="23"/>
      <c r="K25" s="23"/>
      <c r="L25" s="23"/>
      <c r="M25" s="23"/>
      <c r="N25" s="24"/>
      <c r="O25" s="23"/>
      <c r="P25" s="23"/>
      <c r="Q25" s="23"/>
      <c r="R25" s="23"/>
      <c r="S25" s="24">
        <v>78456.5</v>
      </c>
      <c r="T25" s="19"/>
      <c r="U25" s="19"/>
      <c r="V25" s="19"/>
    </row>
    <row r="26" spans="1:22" ht="12.75" customHeight="1" x14ac:dyDescent="0.2">
      <c r="A26" s="20" t="s">
        <v>54</v>
      </c>
      <c r="B26" s="21" t="s">
        <v>55</v>
      </c>
      <c r="C26" s="23">
        <v>15541.4</v>
      </c>
      <c r="D26" s="23"/>
      <c r="E26" s="23">
        <v>3628.6</v>
      </c>
      <c r="F26" s="23">
        <v>3628.6</v>
      </c>
      <c r="G26" s="23"/>
      <c r="H26" s="24">
        <v>19170</v>
      </c>
      <c r="I26" s="23">
        <v>18251.7</v>
      </c>
      <c r="J26" s="23"/>
      <c r="K26" s="23">
        <v>1618.6</v>
      </c>
      <c r="L26" s="23">
        <v>1065</v>
      </c>
      <c r="M26" s="23"/>
      <c r="N26" s="24">
        <v>20935.3</v>
      </c>
      <c r="O26" s="23"/>
      <c r="P26" s="23">
        <v>-375.3</v>
      </c>
      <c r="Q26" s="23">
        <v>20560</v>
      </c>
      <c r="R26" s="23">
        <v>4280</v>
      </c>
      <c r="S26" s="24">
        <v>44010</v>
      </c>
      <c r="T26" s="19"/>
      <c r="U26" s="19"/>
      <c r="V26" s="19"/>
    </row>
    <row r="27" spans="1:22" ht="12.75" customHeight="1" x14ac:dyDescent="0.2">
      <c r="A27" s="20" t="s">
        <v>56</v>
      </c>
      <c r="B27" s="21" t="s">
        <v>57</v>
      </c>
      <c r="C27" s="23">
        <v>27800.3</v>
      </c>
      <c r="D27" s="23"/>
      <c r="E27" s="23"/>
      <c r="F27" s="23"/>
      <c r="G27" s="23"/>
      <c r="H27" s="24">
        <v>27800.3</v>
      </c>
      <c r="I27" s="23"/>
      <c r="J27" s="23"/>
      <c r="K27" s="23"/>
      <c r="L27" s="23"/>
      <c r="M27" s="23"/>
      <c r="N27" s="24"/>
      <c r="O27" s="23"/>
      <c r="P27" s="23"/>
      <c r="Q27" s="23"/>
      <c r="R27" s="23">
        <v>2383</v>
      </c>
      <c r="S27" s="24">
        <v>30183.3</v>
      </c>
      <c r="T27" s="19"/>
      <c r="U27" s="19"/>
      <c r="V27" s="19"/>
    </row>
    <row r="28" spans="1:22" ht="12.75" customHeight="1" x14ac:dyDescent="0.2">
      <c r="A28" s="20" t="s">
        <v>58</v>
      </c>
      <c r="B28" s="21" t="s">
        <v>59</v>
      </c>
      <c r="C28" s="23">
        <v>1791.1</v>
      </c>
      <c r="D28" s="23"/>
      <c r="E28" s="23"/>
      <c r="F28" s="23"/>
      <c r="G28" s="23"/>
      <c r="H28" s="24">
        <v>1791.1</v>
      </c>
      <c r="I28" s="23">
        <v>66246.8</v>
      </c>
      <c r="J28" s="23"/>
      <c r="K28" s="23">
        <v>6990.3</v>
      </c>
      <c r="L28" s="23">
        <v>3845.9</v>
      </c>
      <c r="M28" s="23">
        <v>137</v>
      </c>
      <c r="N28" s="24">
        <v>77220</v>
      </c>
      <c r="O28" s="23"/>
      <c r="P28" s="23">
        <v>136.30000000000001</v>
      </c>
      <c r="Q28" s="23">
        <v>77356.3</v>
      </c>
      <c r="R28" s="23">
        <v>17104</v>
      </c>
      <c r="S28" s="24">
        <v>96251.4</v>
      </c>
      <c r="T28" s="19"/>
      <c r="U28" s="19"/>
      <c r="V28" s="19"/>
    </row>
    <row r="29" spans="1:22" ht="12.75" customHeight="1" x14ac:dyDescent="0.2">
      <c r="A29" s="20" t="s">
        <v>60</v>
      </c>
      <c r="B29" s="21" t="s">
        <v>61</v>
      </c>
      <c r="C29" s="23">
        <v>74533.600000000006</v>
      </c>
      <c r="D29" s="23"/>
      <c r="E29" s="23"/>
      <c r="F29" s="23"/>
      <c r="G29" s="23"/>
      <c r="H29" s="24">
        <v>74533.600000000006</v>
      </c>
      <c r="I29" s="23"/>
      <c r="J29" s="23"/>
      <c r="K29" s="23"/>
      <c r="L29" s="23"/>
      <c r="M29" s="23"/>
      <c r="N29" s="24"/>
      <c r="O29" s="23"/>
      <c r="P29" s="23"/>
      <c r="Q29" s="23"/>
      <c r="R29" s="23">
        <v>20937</v>
      </c>
      <c r="S29" s="24">
        <v>95470.6</v>
      </c>
      <c r="T29" s="19"/>
      <c r="U29" s="19"/>
      <c r="V29" s="19"/>
    </row>
    <row r="30" spans="1:22" ht="12.75" customHeight="1" x14ac:dyDescent="0.2">
      <c r="A30" s="20" t="s">
        <v>62</v>
      </c>
      <c r="B30" s="21" t="s">
        <v>63</v>
      </c>
      <c r="C30" s="23">
        <v>254212.3</v>
      </c>
      <c r="D30" s="23"/>
      <c r="E30" s="23">
        <v>14033.2</v>
      </c>
      <c r="F30" s="23">
        <v>14033.2</v>
      </c>
      <c r="G30" s="23"/>
      <c r="H30" s="24">
        <v>268245.5</v>
      </c>
      <c r="I30" s="23">
        <v>772.2</v>
      </c>
      <c r="J30" s="23">
        <v>7421.8</v>
      </c>
      <c r="K30" s="23">
        <v>201.8</v>
      </c>
      <c r="L30" s="23"/>
      <c r="M30" s="23"/>
      <c r="N30" s="24">
        <v>8395.7999999999993</v>
      </c>
      <c r="O30" s="23"/>
      <c r="P30" s="23"/>
      <c r="Q30" s="23">
        <v>8395.7999999999993</v>
      </c>
      <c r="R30" s="23"/>
      <c r="S30" s="24">
        <v>276641.3</v>
      </c>
      <c r="T30" s="19"/>
      <c r="U30" s="19"/>
      <c r="V30" s="19"/>
    </row>
    <row r="31" spans="1:22" ht="12.75" customHeight="1" x14ac:dyDescent="0.2">
      <c r="A31" s="20" t="s">
        <v>64</v>
      </c>
      <c r="B31" s="21" t="s">
        <v>65</v>
      </c>
      <c r="C31" s="23">
        <v>12071.3</v>
      </c>
      <c r="D31" s="23"/>
      <c r="E31" s="23"/>
      <c r="F31" s="23"/>
      <c r="G31" s="23"/>
      <c r="H31" s="24">
        <v>12071.3</v>
      </c>
      <c r="I31" s="23">
        <v>25272.6</v>
      </c>
      <c r="J31" s="23">
        <v>31684.799999999999</v>
      </c>
      <c r="K31" s="23">
        <v>841.8</v>
      </c>
      <c r="L31" s="23">
        <v>1874</v>
      </c>
      <c r="M31" s="23">
        <v>340</v>
      </c>
      <c r="N31" s="24">
        <v>60013.2</v>
      </c>
      <c r="O31" s="23"/>
      <c r="P31" s="23">
        <v>328.5</v>
      </c>
      <c r="Q31" s="23">
        <v>60341.7</v>
      </c>
      <c r="R31" s="23">
        <v>30529</v>
      </c>
      <c r="S31" s="24">
        <v>102942</v>
      </c>
      <c r="T31" s="19"/>
      <c r="U31" s="19"/>
      <c r="V31" s="19"/>
    </row>
    <row r="32" spans="1:22" ht="12.75" customHeight="1" x14ac:dyDescent="0.2">
      <c r="A32" s="20" t="s">
        <v>66</v>
      </c>
      <c r="B32" s="21" t="s">
        <v>67</v>
      </c>
      <c r="C32" s="23"/>
      <c r="D32" s="23">
        <v>13947</v>
      </c>
      <c r="E32" s="23"/>
      <c r="F32" s="23">
        <v>13947</v>
      </c>
      <c r="G32" s="23"/>
      <c r="H32" s="24">
        <v>13947</v>
      </c>
      <c r="I32" s="23">
        <v>36979.300000000003</v>
      </c>
      <c r="J32" s="23"/>
      <c r="K32" s="23"/>
      <c r="L32" s="23">
        <v>19161</v>
      </c>
      <c r="M32" s="23"/>
      <c r="N32" s="24">
        <v>56140.3</v>
      </c>
      <c r="O32" s="23"/>
      <c r="P32" s="23">
        <v>71.2</v>
      </c>
      <c r="Q32" s="23">
        <v>56211.5</v>
      </c>
      <c r="R32" s="23">
        <v>8640</v>
      </c>
      <c r="S32" s="24">
        <v>78798.5</v>
      </c>
      <c r="T32" s="19"/>
      <c r="U32" s="19"/>
      <c r="V32" s="19"/>
    </row>
    <row r="33" spans="1:22" ht="12.75" customHeight="1" x14ac:dyDescent="0.2">
      <c r="A33" s="20" t="s">
        <v>68</v>
      </c>
      <c r="B33" s="21" t="s">
        <v>69</v>
      </c>
      <c r="C33" s="23">
        <v>5121.6000000000004</v>
      </c>
      <c r="D33" s="23"/>
      <c r="E33" s="23"/>
      <c r="F33" s="23"/>
      <c r="G33" s="23"/>
      <c r="H33" s="24">
        <v>5121.6000000000004</v>
      </c>
      <c r="I33" s="23"/>
      <c r="J33" s="23"/>
      <c r="K33" s="23"/>
      <c r="L33" s="23"/>
      <c r="M33" s="23"/>
      <c r="N33" s="24"/>
      <c r="O33" s="23"/>
      <c r="P33" s="23">
        <v>172.3</v>
      </c>
      <c r="Q33" s="23">
        <v>172.3</v>
      </c>
      <c r="R33" s="23">
        <v>5479</v>
      </c>
      <c r="S33" s="24">
        <v>10772.9</v>
      </c>
      <c r="T33" s="19"/>
      <c r="U33" s="19"/>
      <c r="V33" s="19"/>
    </row>
    <row r="34" spans="1:22" ht="12.75" customHeight="1" x14ac:dyDescent="0.2">
      <c r="A34" s="20" t="s">
        <v>70</v>
      </c>
      <c r="B34" s="21" t="s">
        <v>71</v>
      </c>
      <c r="C34" s="23">
        <v>10060</v>
      </c>
      <c r="D34" s="23"/>
      <c r="E34" s="23">
        <v>1142</v>
      </c>
      <c r="F34" s="23">
        <v>1142</v>
      </c>
      <c r="G34" s="23"/>
      <c r="H34" s="24">
        <v>11202</v>
      </c>
      <c r="I34" s="23"/>
      <c r="J34" s="23"/>
      <c r="K34" s="23"/>
      <c r="L34" s="23"/>
      <c r="M34" s="23"/>
      <c r="N34" s="24"/>
      <c r="O34" s="23"/>
      <c r="P34" s="23">
        <v>21.4</v>
      </c>
      <c r="Q34" s="23">
        <v>21.4</v>
      </c>
      <c r="R34" s="23">
        <v>36681</v>
      </c>
      <c r="S34" s="24">
        <v>47904.4</v>
      </c>
      <c r="T34" s="19"/>
      <c r="U34" s="19"/>
      <c r="V34" s="19"/>
    </row>
    <row r="35" spans="1:22" ht="12.75" customHeight="1" x14ac:dyDescent="0.2">
      <c r="A35" s="20" t="s">
        <v>72</v>
      </c>
      <c r="B35" s="21" t="s">
        <v>73</v>
      </c>
      <c r="C35" s="23">
        <v>688</v>
      </c>
      <c r="D35" s="23">
        <v>191288.7</v>
      </c>
      <c r="E35" s="23">
        <v>18207.400000000001</v>
      </c>
      <c r="F35" s="23">
        <v>209496.1</v>
      </c>
      <c r="G35" s="23"/>
      <c r="H35" s="24">
        <v>210184.1</v>
      </c>
      <c r="I35" s="23"/>
      <c r="J35" s="23"/>
      <c r="K35" s="23"/>
      <c r="L35" s="23"/>
      <c r="M35" s="23"/>
      <c r="N35" s="24"/>
      <c r="O35" s="23"/>
      <c r="P35" s="23"/>
      <c r="Q35" s="23"/>
      <c r="R35" s="23"/>
      <c r="S35" s="24">
        <v>210184.1</v>
      </c>
      <c r="T35" s="19"/>
      <c r="U35" s="19"/>
      <c r="V35" s="19"/>
    </row>
    <row r="36" spans="1:22" ht="12.75" customHeight="1" x14ac:dyDescent="0.2">
      <c r="A36" s="20" t="s">
        <v>74</v>
      </c>
      <c r="B36" s="21" t="s">
        <v>75</v>
      </c>
      <c r="C36" s="23">
        <v>9709.9</v>
      </c>
      <c r="D36" s="23"/>
      <c r="E36" s="23">
        <v>106941.4</v>
      </c>
      <c r="F36" s="23">
        <v>106941.4</v>
      </c>
      <c r="G36" s="23">
        <v>4823</v>
      </c>
      <c r="H36" s="24">
        <v>121474.3</v>
      </c>
      <c r="I36" s="23"/>
      <c r="J36" s="23"/>
      <c r="K36" s="23"/>
      <c r="L36" s="23"/>
      <c r="M36" s="23"/>
      <c r="N36" s="24"/>
      <c r="O36" s="23"/>
      <c r="P36" s="23"/>
      <c r="Q36" s="23"/>
      <c r="R36" s="23"/>
      <c r="S36" s="24">
        <v>121474.3</v>
      </c>
      <c r="T36" s="19"/>
      <c r="U36" s="19"/>
      <c r="V36" s="19"/>
    </row>
    <row r="37" spans="1:22" ht="12.75" customHeight="1" x14ac:dyDescent="0.2">
      <c r="A37" s="20" t="s">
        <v>76</v>
      </c>
      <c r="B37" s="21" t="s">
        <v>77</v>
      </c>
      <c r="C37" s="23">
        <v>31738.9</v>
      </c>
      <c r="D37" s="23"/>
      <c r="E37" s="23">
        <v>160576.20000000001</v>
      </c>
      <c r="F37" s="23">
        <v>160576.20000000001</v>
      </c>
      <c r="G37" s="23"/>
      <c r="H37" s="24">
        <v>192315.1</v>
      </c>
      <c r="I37" s="23"/>
      <c r="J37" s="23"/>
      <c r="K37" s="23"/>
      <c r="L37" s="23"/>
      <c r="M37" s="23"/>
      <c r="N37" s="24"/>
      <c r="O37" s="23"/>
      <c r="P37" s="23"/>
      <c r="Q37" s="23"/>
      <c r="R37" s="23">
        <v>930</v>
      </c>
      <c r="S37" s="24">
        <v>193245.1</v>
      </c>
      <c r="T37" s="19"/>
      <c r="U37" s="19"/>
      <c r="V37" s="19"/>
    </row>
    <row r="38" spans="1:22" ht="12.75" customHeight="1" x14ac:dyDescent="0.2">
      <c r="A38" s="20" t="s">
        <v>78</v>
      </c>
      <c r="B38" s="21" t="s">
        <v>79</v>
      </c>
      <c r="C38" s="23">
        <v>24388.3</v>
      </c>
      <c r="D38" s="23"/>
      <c r="E38" s="23">
        <v>39676.400000000001</v>
      </c>
      <c r="F38" s="23">
        <v>39676.400000000001</v>
      </c>
      <c r="G38" s="23">
        <v>27536.9</v>
      </c>
      <c r="H38" s="24">
        <v>91601.600000000006</v>
      </c>
      <c r="I38" s="23"/>
      <c r="J38" s="23"/>
      <c r="K38" s="23"/>
      <c r="L38" s="23"/>
      <c r="M38" s="23"/>
      <c r="N38" s="24"/>
      <c r="O38" s="23"/>
      <c r="P38" s="23"/>
      <c r="Q38" s="23"/>
      <c r="R38" s="23"/>
      <c r="S38" s="24">
        <v>91601.600000000006</v>
      </c>
      <c r="T38" s="19"/>
      <c r="U38" s="19"/>
      <c r="V38" s="19"/>
    </row>
    <row r="39" spans="1:22" ht="12.75" customHeight="1" x14ac:dyDescent="0.2">
      <c r="A39" s="20" t="s">
        <v>80</v>
      </c>
      <c r="B39" s="21" t="s">
        <v>81</v>
      </c>
      <c r="C39" s="23">
        <v>20980.2</v>
      </c>
      <c r="D39" s="23"/>
      <c r="E39" s="23">
        <v>20687.5</v>
      </c>
      <c r="F39" s="23">
        <v>20687.5</v>
      </c>
      <c r="G39" s="23">
        <v>6499.1</v>
      </c>
      <c r="H39" s="24">
        <v>48166.8</v>
      </c>
      <c r="I39" s="23">
        <v>35</v>
      </c>
      <c r="J39" s="23"/>
      <c r="K39" s="23"/>
      <c r="L39" s="23">
        <v>111</v>
      </c>
      <c r="M39" s="23"/>
      <c r="N39" s="24">
        <v>146</v>
      </c>
      <c r="O39" s="23"/>
      <c r="P39" s="23">
        <v>-3.4</v>
      </c>
      <c r="Q39" s="23">
        <v>142.6</v>
      </c>
      <c r="R39" s="23">
        <v>1740</v>
      </c>
      <c r="S39" s="24">
        <v>50049.4</v>
      </c>
      <c r="T39" s="19"/>
      <c r="U39" s="19"/>
      <c r="V39" s="19"/>
    </row>
    <row r="40" spans="1:22" ht="12.75" customHeight="1" x14ac:dyDescent="0.2">
      <c r="A40" s="20" t="s">
        <v>82</v>
      </c>
      <c r="B40" s="21" t="s">
        <v>83</v>
      </c>
      <c r="C40" s="23">
        <v>21128.9</v>
      </c>
      <c r="D40" s="23">
        <v>13.7</v>
      </c>
      <c r="E40" s="23">
        <v>153</v>
      </c>
      <c r="F40" s="23">
        <v>166.7</v>
      </c>
      <c r="G40" s="23">
        <v>13589</v>
      </c>
      <c r="H40" s="24">
        <v>34884.6</v>
      </c>
      <c r="I40" s="23">
        <v>1752.6</v>
      </c>
      <c r="J40" s="23"/>
      <c r="K40" s="23">
        <v>303.3</v>
      </c>
      <c r="L40" s="23">
        <v>220</v>
      </c>
      <c r="M40" s="23"/>
      <c r="N40" s="24">
        <v>2275.9</v>
      </c>
      <c r="O40" s="23"/>
      <c r="P40" s="23">
        <v>188.5</v>
      </c>
      <c r="Q40" s="23">
        <v>2464.4</v>
      </c>
      <c r="R40" s="23">
        <v>2392</v>
      </c>
      <c r="S40" s="24">
        <v>39741</v>
      </c>
      <c r="T40" s="19"/>
      <c r="U40" s="19"/>
      <c r="V40" s="19"/>
    </row>
    <row r="41" spans="1:22" ht="12.75" customHeight="1" x14ac:dyDescent="0.2">
      <c r="A41" s="20" t="s">
        <v>84</v>
      </c>
      <c r="B41" s="21" t="s">
        <v>85</v>
      </c>
      <c r="C41" s="23">
        <v>1005.9</v>
      </c>
      <c r="D41" s="23"/>
      <c r="E41" s="23">
        <v>456</v>
      </c>
      <c r="F41" s="23">
        <v>456</v>
      </c>
      <c r="G41" s="23"/>
      <c r="H41" s="24">
        <v>1461.9</v>
      </c>
      <c r="I41" s="23"/>
      <c r="J41" s="23"/>
      <c r="K41" s="23"/>
      <c r="L41" s="23"/>
      <c r="M41" s="23"/>
      <c r="N41" s="24"/>
      <c r="O41" s="23"/>
      <c r="P41" s="23"/>
      <c r="Q41" s="23"/>
      <c r="R41" s="23"/>
      <c r="S41" s="24">
        <v>1461.9</v>
      </c>
      <c r="T41" s="19"/>
      <c r="U41" s="19"/>
      <c r="V41" s="19"/>
    </row>
    <row r="42" spans="1:22" ht="12.75" customHeight="1" x14ac:dyDescent="0.2">
      <c r="A42" s="20" t="s">
        <v>86</v>
      </c>
      <c r="B42" s="21" t="s">
        <v>87</v>
      </c>
      <c r="C42" s="23">
        <v>-9318</v>
      </c>
      <c r="D42" s="23"/>
      <c r="E42" s="23"/>
      <c r="F42" s="23"/>
      <c r="G42" s="23"/>
      <c r="H42" s="24">
        <v>-9318</v>
      </c>
      <c r="I42" s="23"/>
      <c r="J42" s="23"/>
      <c r="K42" s="23"/>
      <c r="L42" s="23"/>
      <c r="M42" s="23"/>
      <c r="N42" s="24"/>
      <c r="O42" s="23"/>
      <c r="P42" s="23"/>
      <c r="Q42" s="23"/>
      <c r="R42" s="23">
        <v>37449</v>
      </c>
      <c r="S42" s="24">
        <v>28131</v>
      </c>
      <c r="T42" s="19"/>
      <c r="U42" s="19"/>
      <c r="V42" s="19"/>
    </row>
    <row r="43" spans="1:22" ht="12.75" customHeight="1" x14ac:dyDescent="0.2">
      <c r="A43" s="20" t="s">
        <v>88</v>
      </c>
      <c r="B43" s="21" t="s">
        <v>89</v>
      </c>
      <c r="C43" s="23"/>
      <c r="D43" s="23"/>
      <c r="E43" s="23"/>
      <c r="F43" s="23"/>
      <c r="G43" s="23"/>
      <c r="H43" s="24"/>
      <c r="I43" s="23"/>
      <c r="J43" s="23"/>
      <c r="K43" s="23"/>
      <c r="L43" s="23"/>
      <c r="M43" s="23"/>
      <c r="N43" s="24"/>
      <c r="O43" s="23"/>
      <c r="P43" s="23"/>
      <c r="Q43" s="23"/>
      <c r="R43" s="23"/>
      <c r="S43" s="24"/>
      <c r="T43" s="19"/>
      <c r="U43" s="19"/>
      <c r="V43" s="19"/>
    </row>
    <row r="44" spans="1:22" ht="12.75" customHeight="1" x14ac:dyDescent="0.2">
      <c r="A44" s="20" t="s">
        <v>90</v>
      </c>
      <c r="B44" s="21" t="s">
        <v>91</v>
      </c>
      <c r="C44" s="24">
        <v>1263041.6000000001</v>
      </c>
      <c r="D44" s="24">
        <v>205249.4</v>
      </c>
      <c r="E44" s="24">
        <v>405514</v>
      </c>
      <c r="F44" s="24">
        <v>610763.4</v>
      </c>
      <c r="G44" s="24">
        <v>52448</v>
      </c>
      <c r="H44" s="24">
        <v>1926252.9</v>
      </c>
      <c r="I44" s="24">
        <v>340957.4</v>
      </c>
      <c r="J44" s="24">
        <v>148623.6</v>
      </c>
      <c r="K44" s="24">
        <v>27283</v>
      </c>
      <c r="L44" s="24">
        <v>90077</v>
      </c>
      <c r="M44" s="24">
        <v>5257</v>
      </c>
      <c r="N44" s="24">
        <v>612198</v>
      </c>
      <c r="O44" s="24">
        <v>1320.6</v>
      </c>
      <c r="P44" s="24">
        <v>9444.6</v>
      </c>
      <c r="Q44" s="24">
        <v>622963.19999999995</v>
      </c>
      <c r="R44" s="24">
        <v>751511</v>
      </c>
      <c r="S44" s="24">
        <v>3300727.2</v>
      </c>
      <c r="T44" s="19"/>
      <c r="U44" s="19"/>
      <c r="V44" s="19"/>
    </row>
    <row r="45" spans="1:22" ht="12.7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 customHeight="1" x14ac:dyDescent="0.2"/>
    <row r="53" spans="1:22" ht="12.75" customHeight="1" x14ac:dyDescent="0.2"/>
    <row r="54" spans="1:22" ht="12.75" customHeight="1" x14ac:dyDescent="0.2"/>
    <row r="55" spans="1:22" ht="12.75" customHeight="1" x14ac:dyDescent="0.2"/>
    <row r="56" spans="1:22" ht="12.75" customHeight="1" x14ac:dyDescent="0.2"/>
    <row r="57" spans="1:22" ht="12.75" customHeight="1" x14ac:dyDescent="0.2"/>
    <row r="58" spans="1:22" ht="12.75" customHeight="1" x14ac:dyDescent="0.2"/>
  </sheetData>
  <mergeCells count="5">
    <mergeCell ref="C1:S1"/>
    <mergeCell ref="C2:S2"/>
    <mergeCell ref="A3:B4"/>
    <mergeCell ref="C3:H3"/>
    <mergeCell ref="I3:N3"/>
  </mergeCells>
  <pageMargins left="0" right="0" top="0" bottom="0" header="0.511811023622047" footer="0.511811023622047"/>
  <pageSetup paperSize="9" scale="8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2" sqref="A22:XFD22"/>
    </sheetView>
  </sheetViews>
  <sheetFormatPr baseColWidth="10" defaultColWidth="10.7109375" defaultRowHeight="12.75" outlineLevelCol="1" x14ac:dyDescent="0.2"/>
  <cols>
    <col min="1" max="1" width="20.5703125" customWidth="1" outlineLevel="1"/>
    <col min="2" max="2" width="8.42578125" customWidth="1" outlineLevel="1"/>
    <col min="3" max="3" width="14.28515625" customWidth="1" outlineLevel="1"/>
    <col min="4" max="7" width="6.7109375" customWidth="1" outlineLevel="1"/>
    <col min="8" max="8" width="8" customWidth="1" outlineLevel="1"/>
    <col min="9" max="9" width="12" customWidth="1" outlineLevel="1"/>
    <col min="10" max="10" width="6.7109375" customWidth="1" outlineLevel="1"/>
    <col min="11" max="11" width="6.42578125" customWidth="1" outlineLevel="1"/>
    <col min="12" max="12" width="6.7109375" customWidth="1" outlineLevel="1"/>
    <col min="13" max="13" width="5.7109375" customWidth="1" outlineLevel="1"/>
    <col min="14" max="14" width="7.7109375" customWidth="1" outlineLevel="1"/>
    <col min="15" max="16" width="5.42578125" customWidth="1" outlineLevel="1"/>
    <col min="17" max="18" width="6.7109375" customWidth="1" outlineLevel="1"/>
    <col min="19" max="19" width="7.7109375" customWidth="1" outlineLevel="1"/>
  </cols>
  <sheetData>
    <row r="1" spans="1:22" ht="12.75" customHeight="1" thickTop="1" thickBot="1" x14ac:dyDescent="0.25">
      <c r="A1" s="25"/>
      <c r="B1" s="17"/>
      <c r="C1" s="1000" t="s">
        <v>92</v>
      </c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0"/>
    </row>
    <row r="2" spans="1:22" ht="12.75" customHeight="1" thickTop="1" x14ac:dyDescent="0.2">
      <c r="A2" s="17"/>
      <c r="C2" s="1001" t="s">
        <v>8</v>
      </c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</row>
    <row r="3" spans="1:22" ht="12.75" customHeight="1" x14ac:dyDescent="0.2">
      <c r="A3" s="1002" t="s">
        <v>11</v>
      </c>
      <c r="B3" s="1002"/>
      <c r="C3" s="1003" t="s">
        <v>93</v>
      </c>
      <c r="D3" s="1003"/>
      <c r="E3" s="1003"/>
      <c r="F3" s="1003"/>
      <c r="G3" s="1003"/>
      <c r="H3" s="1003"/>
      <c r="I3" s="1003" t="s">
        <v>94</v>
      </c>
      <c r="J3" s="1003"/>
      <c r="K3" s="1003"/>
      <c r="L3" s="1003"/>
      <c r="M3" s="1003"/>
      <c r="N3" s="1003"/>
      <c r="O3" s="19"/>
      <c r="P3" s="19"/>
      <c r="Q3" s="19"/>
      <c r="R3" s="19"/>
      <c r="S3" s="19"/>
      <c r="T3" s="19"/>
      <c r="U3" s="19"/>
      <c r="V3" s="19"/>
    </row>
    <row r="4" spans="1:22" ht="132.75" customHeight="1" thickBot="1" x14ac:dyDescent="0.25">
      <c r="A4" s="1002"/>
      <c r="B4" s="1002"/>
      <c r="C4" s="18" t="s">
        <v>95</v>
      </c>
      <c r="D4" s="18" t="s">
        <v>96</v>
      </c>
      <c r="E4" s="18" t="s">
        <v>97</v>
      </c>
      <c r="F4" s="18" t="s">
        <v>98</v>
      </c>
      <c r="G4" s="18" t="s">
        <v>99</v>
      </c>
      <c r="H4" s="26" t="s">
        <v>100</v>
      </c>
      <c r="I4" s="18" t="s">
        <v>101</v>
      </c>
      <c r="J4" s="18" t="s">
        <v>102</v>
      </c>
      <c r="K4" s="18" t="s">
        <v>103</v>
      </c>
      <c r="L4" s="18" t="s">
        <v>104</v>
      </c>
      <c r="M4" s="18" t="s">
        <v>99</v>
      </c>
      <c r="N4" s="26" t="s">
        <v>105</v>
      </c>
      <c r="O4" s="18" t="s">
        <v>106</v>
      </c>
      <c r="P4" s="18" t="s">
        <v>107</v>
      </c>
      <c r="Q4" s="18" t="s">
        <v>108</v>
      </c>
      <c r="R4" s="18" t="s">
        <v>109</v>
      </c>
      <c r="S4" s="18" t="s">
        <v>110</v>
      </c>
      <c r="T4" s="19"/>
      <c r="U4" s="19"/>
      <c r="V4" s="19"/>
    </row>
    <row r="5" spans="1:22" ht="12.75" customHeight="1" thickTop="1" thickBot="1" x14ac:dyDescent="0.25">
      <c r="A5" s="20" t="s">
        <v>12</v>
      </c>
      <c r="B5" s="21" t="s">
        <v>13</v>
      </c>
      <c r="C5" s="22">
        <v>40238.300000000003</v>
      </c>
      <c r="D5" s="23"/>
      <c r="E5" s="23"/>
      <c r="F5" s="23"/>
      <c r="G5" s="23"/>
      <c r="H5" s="24">
        <v>40238.300000000003</v>
      </c>
      <c r="I5" s="22">
        <v>1044</v>
      </c>
      <c r="J5" s="23"/>
      <c r="K5" s="23"/>
      <c r="L5" s="23"/>
      <c r="M5" s="23"/>
      <c r="N5" s="24">
        <v>1044</v>
      </c>
      <c r="O5" s="23"/>
      <c r="P5" s="23">
        <v>6668</v>
      </c>
      <c r="Q5" s="23">
        <v>7712</v>
      </c>
      <c r="R5" s="23">
        <v>17313</v>
      </c>
      <c r="S5" s="24">
        <v>65263.3</v>
      </c>
      <c r="T5" s="19"/>
      <c r="U5" s="19"/>
      <c r="V5" s="19"/>
    </row>
    <row r="6" spans="1:22" ht="12.75" customHeight="1" thickTop="1" x14ac:dyDescent="0.2">
      <c r="A6" s="20" t="s">
        <v>14</v>
      </c>
      <c r="B6" s="21" t="s">
        <v>15</v>
      </c>
      <c r="C6" s="23">
        <v>22</v>
      </c>
      <c r="D6" s="23"/>
      <c r="E6" s="23"/>
      <c r="F6" s="23"/>
      <c r="G6" s="23"/>
      <c r="H6" s="24">
        <v>22</v>
      </c>
      <c r="I6" s="23"/>
      <c r="J6" s="23"/>
      <c r="K6" s="23"/>
      <c r="L6" s="23"/>
      <c r="M6" s="23"/>
      <c r="N6" s="24"/>
      <c r="O6" s="23"/>
      <c r="P6" s="23">
        <v>928</v>
      </c>
      <c r="Q6" s="23">
        <v>928</v>
      </c>
      <c r="R6" s="23">
        <v>6252</v>
      </c>
      <c r="S6" s="24">
        <v>7202</v>
      </c>
      <c r="T6" s="19"/>
      <c r="U6" s="19"/>
      <c r="V6" s="19"/>
    </row>
    <row r="7" spans="1:22" ht="12.75" customHeight="1" x14ac:dyDescent="0.2">
      <c r="A7" s="20" t="s">
        <v>16</v>
      </c>
      <c r="B7" s="21" t="s">
        <v>17</v>
      </c>
      <c r="C7" s="23">
        <v>198660.6</v>
      </c>
      <c r="D7" s="23"/>
      <c r="E7" s="23">
        <v>411</v>
      </c>
      <c r="F7" s="23">
        <v>411</v>
      </c>
      <c r="G7" s="23"/>
      <c r="H7" s="24">
        <v>199071.6</v>
      </c>
      <c r="I7" s="23"/>
      <c r="J7" s="23"/>
      <c r="K7" s="23"/>
      <c r="L7" s="23"/>
      <c r="M7" s="23"/>
      <c r="N7" s="24"/>
      <c r="O7" s="23"/>
      <c r="P7" s="23">
        <v>556</v>
      </c>
      <c r="Q7" s="23">
        <v>556</v>
      </c>
      <c r="R7" s="23">
        <v>54316</v>
      </c>
      <c r="S7" s="24">
        <v>253943.6</v>
      </c>
      <c r="T7" s="19"/>
      <c r="U7" s="19"/>
      <c r="V7" s="19"/>
    </row>
    <row r="8" spans="1:22" ht="12.75" customHeight="1" x14ac:dyDescent="0.2">
      <c r="A8" s="20" t="s">
        <v>18</v>
      </c>
      <c r="B8" s="21" t="s">
        <v>19</v>
      </c>
      <c r="C8" s="23">
        <v>47814.8</v>
      </c>
      <c r="D8" s="23"/>
      <c r="E8" s="23">
        <v>75</v>
      </c>
      <c r="F8" s="23">
        <v>75</v>
      </c>
      <c r="G8" s="23"/>
      <c r="H8" s="24">
        <v>47889.8</v>
      </c>
      <c r="I8" s="23"/>
      <c r="J8" s="23"/>
      <c r="K8" s="23"/>
      <c r="L8" s="23"/>
      <c r="M8" s="23"/>
      <c r="N8" s="24"/>
      <c r="O8" s="23"/>
      <c r="P8" s="23">
        <v>-620.9</v>
      </c>
      <c r="Q8" s="23">
        <v>-620.9</v>
      </c>
      <c r="R8" s="23">
        <v>29645</v>
      </c>
      <c r="S8" s="24">
        <v>76913.899999999994</v>
      </c>
      <c r="T8" s="19"/>
      <c r="U8" s="19"/>
      <c r="V8" s="19"/>
    </row>
    <row r="9" spans="1:22" ht="12.75" customHeight="1" x14ac:dyDescent="0.2">
      <c r="A9" s="20" t="s">
        <v>20</v>
      </c>
      <c r="B9" s="21" t="s">
        <v>21</v>
      </c>
      <c r="C9" s="23">
        <v>7437.3</v>
      </c>
      <c r="D9" s="23"/>
      <c r="E9" s="23"/>
      <c r="F9" s="23"/>
      <c r="G9" s="23"/>
      <c r="H9" s="24">
        <v>7437.3</v>
      </c>
      <c r="I9" s="23"/>
      <c r="J9" s="23"/>
      <c r="K9" s="23"/>
      <c r="L9" s="23"/>
      <c r="M9" s="23"/>
      <c r="N9" s="24"/>
      <c r="O9" s="23"/>
      <c r="P9" s="23">
        <v>-25.2</v>
      </c>
      <c r="Q9" s="23">
        <v>-25.2</v>
      </c>
      <c r="R9" s="23">
        <v>9347</v>
      </c>
      <c r="S9" s="24">
        <v>16759.099999999999</v>
      </c>
      <c r="T9" s="19"/>
      <c r="U9" s="19"/>
      <c r="V9" s="19"/>
    </row>
    <row r="10" spans="1:22" ht="12.75" customHeight="1" x14ac:dyDescent="0.2">
      <c r="A10" s="20" t="s">
        <v>22</v>
      </c>
      <c r="B10" s="21" t="s">
        <v>23</v>
      </c>
      <c r="C10" s="23">
        <v>47339.7</v>
      </c>
      <c r="D10" s="23"/>
      <c r="E10" s="23"/>
      <c r="F10" s="23"/>
      <c r="G10" s="23"/>
      <c r="H10" s="24">
        <v>47339.7</v>
      </c>
      <c r="I10" s="23"/>
      <c r="J10" s="23"/>
      <c r="K10" s="23"/>
      <c r="L10" s="23"/>
      <c r="M10" s="23"/>
      <c r="N10" s="24"/>
      <c r="O10" s="23"/>
      <c r="P10" s="23">
        <v>-412</v>
      </c>
      <c r="Q10" s="23">
        <v>-412</v>
      </c>
      <c r="R10" s="23">
        <v>9561</v>
      </c>
      <c r="S10" s="24">
        <v>56488.7</v>
      </c>
      <c r="T10" s="19"/>
      <c r="U10" s="19"/>
      <c r="V10" s="19"/>
    </row>
    <row r="11" spans="1:22" ht="12.75" customHeight="1" x14ac:dyDescent="0.2">
      <c r="A11" s="20" t="s">
        <v>24</v>
      </c>
      <c r="B11" s="21" t="s">
        <v>25</v>
      </c>
      <c r="C11" s="23">
        <v>23419.4</v>
      </c>
      <c r="D11" s="23"/>
      <c r="E11" s="23">
        <v>377</v>
      </c>
      <c r="F11" s="23">
        <v>377</v>
      </c>
      <c r="G11" s="23"/>
      <c r="H11" s="24">
        <v>23796.400000000001</v>
      </c>
      <c r="I11" s="23"/>
      <c r="J11" s="23"/>
      <c r="K11" s="23"/>
      <c r="L11" s="23"/>
      <c r="M11" s="23"/>
      <c r="N11" s="24"/>
      <c r="O11" s="23"/>
      <c r="P11" s="23">
        <v>-504.3</v>
      </c>
      <c r="Q11" s="23">
        <v>-504.3</v>
      </c>
      <c r="R11" s="23">
        <v>70424</v>
      </c>
      <c r="S11" s="24">
        <v>93716.1</v>
      </c>
      <c r="T11" s="19"/>
      <c r="U11" s="19"/>
      <c r="V11" s="19"/>
    </row>
    <row r="12" spans="1:22" ht="12.75" customHeight="1" x14ac:dyDescent="0.2">
      <c r="A12" s="20" t="s">
        <v>26</v>
      </c>
      <c r="B12" s="21" t="s">
        <v>27</v>
      </c>
      <c r="C12" s="23">
        <v>14011.9</v>
      </c>
      <c r="D12" s="23"/>
      <c r="E12" s="23">
        <v>29394</v>
      </c>
      <c r="F12" s="23">
        <v>29394</v>
      </c>
      <c r="G12" s="23"/>
      <c r="H12" s="24">
        <v>43405.9</v>
      </c>
      <c r="I12" s="23"/>
      <c r="J12" s="23"/>
      <c r="K12" s="23"/>
      <c r="L12" s="23"/>
      <c r="M12" s="23"/>
      <c r="N12" s="24"/>
      <c r="O12" s="23"/>
      <c r="P12" s="23">
        <v>770.3</v>
      </c>
      <c r="Q12" s="23">
        <v>770.3</v>
      </c>
      <c r="R12" s="23">
        <v>37099</v>
      </c>
      <c r="S12" s="24">
        <v>81275.199999999997</v>
      </c>
      <c r="T12" s="19"/>
      <c r="U12" s="19"/>
      <c r="V12" s="19"/>
    </row>
    <row r="13" spans="1:22" ht="12.75" customHeight="1" x14ac:dyDescent="0.2">
      <c r="A13" s="20" t="s">
        <v>28</v>
      </c>
      <c r="B13" s="21" t="s">
        <v>29</v>
      </c>
      <c r="C13" s="23">
        <v>11378.8</v>
      </c>
      <c r="D13" s="23"/>
      <c r="E13" s="23"/>
      <c r="F13" s="23"/>
      <c r="G13" s="23"/>
      <c r="H13" s="24">
        <v>11378.8</v>
      </c>
      <c r="I13" s="23"/>
      <c r="J13" s="23"/>
      <c r="K13" s="23"/>
      <c r="L13" s="23"/>
      <c r="M13" s="23"/>
      <c r="N13" s="24"/>
      <c r="O13" s="23"/>
      <c r="P13" s="23">
        <v>-345</v>
      </c>
      <c r="Q13" s="23">
        <v>-345</v>
      </c>
      <c r="R13" s="23">
        <v>21778</v>
      </c>
      <c r="S13" s="24">
        <v>32811.800000000003</v>
      </c>
      <c r="T13" s="19"/>
      <c r="U13" s="19"/>
      <c r="V13" s="19"/>
    </row>
    <row r="14" spans="1:22" ht="12.75" customHeight="1" x14ac:dyDescent="0.2">
      <c r="A14" s="20" t="s">
        <v>30</v>
      </c>
      <c r="B14" s="21" t="s">
        <v>31</v>
      </c>
      <c r="C14" s="23">
        <v>5491.6</v>
      </c>
      <c r="D14" s="23"/>
      <c r="E14" s="23"/>
      <c r="F14" s="23"/>
      <c r="G14" s="23"/>
      <c r="H14" s="24">
        <v>5491.6</v>
      </c>
      <c r="I14" s="23">
        <v>6074.4</v>
      </c>
      <c r="J14" s="23"/>
      <c r="K14" s="23">
        <v>296.39999999999998</v>
      </c>
      <c r="L14" s="23">
        <v>121.8</v>
      </c>
      <c r="M14" s="23"/>
      <c r="N14" s="24">
        <v>6492.6</v>
      </c>
      <c r="O14" s="23">
        <v>352.1</v>
      </c>
      <c r="P14" s="23">
        <v>307.39999999999998</v>
      </c>
      <c r="Q14" s="23">
        <v>7152.1</v>
      </c>
      <c r="R14" s="23">
        <v>34544</v>
      </c>
      <c r="S14" s="24">
        <v>47187.7</v>
      </c>
      <c r="T14" s="19"/>
      <c r="U14" s="19"/>
      <c r="V14" s="19"/>
    </row>
    <row r="15" spans="1:22" ht="12.75" customHeight="1" x14ac:dyDescent="0.2">
      <c r="A15" s="20" t="s">
        <v>32</v>
      </c>
      <c r="B15" s="21" t="s">
        <v>33</v>
      </c>
      <c r="C15" s="23">
        <v>19157.5</v>
      </c>
      <c r="D15" s="23"/>
      <c r="E15" s="23">
        <v>512</v>
      </c>
      <c r="F15" s="23">
        <v>512</v>
      </c>
      <c r="G15" s="23"/>
      <c r="H15" s="24">
        <v>19669.5</v>
      </c>
      <c r="I15" s="23">
        <v>10300.5</v>
      </c>
      <c r="J15" s="23"/>
      <c r="K15" s="23">
        <v>3163.3</v>
      </c>
      <c r="L15" s="23">
        <v>1002</v>
      </c>
      <c r="M15" s="23">
        <v>770.2</v>
      </c>
      <c r="N15" s="24">
        <v>15236</v>
      </c>
      <c r="O15" s="23"/>
      <c r="P15" s="23">
        <v>2199.6</v>
      </c>
      <c r="Q15" s="23">
        <v>17435.599999999999</v>
      </c>
      <c r="R15" s="23">
        <v>30210</v>
      </c>
      <c r="S15" s="24">
        <v>67315.100000000006</v>
      </c>
      <c r="T15" s="19"/>
      <c r="U15" s="19"/>
      <c r="V15" s="19"/>
    </row>
    <row r="16" spans="1:22" ht="12.75" customHeight="1" x14ac:dyDescent="0.2">
      <c r="A16" s="20" t="s">
        <v>34</v>
      </c>
      <c r="B16" s="21" t="s">
        <v>35</v>
      </c>
      <c r="C16" s="23">
        <v>14424.8</v>
      </c>
      <c r="D16" s="23"/>
      <c r="E16" s="23"/>
      <c r="F16" s="23"/>
      <c r="G16" s="23"/>
      <c r="H16" s="24">
        <v>14424.8</v>
      </c>
      <c r="I16" s="23">
        <v>3766.6</v>
      </c>
      <c r="J16" s="23"/>
      <c r="K16" s="23">
        <v>18.2</v>
      </c>
      <c r="L16" s="23">
        <v>145</v>
      </c>
      <c r="M16" s="23"/>
      <c r="N16" s="24">
        <v>3929.8</v>
      </c>
      <c r="O16" s="23"/>
      <c r="P16" s="23">
        <v>1580.7</v>
      </c>
      <c r="Q16" s="23">
        <v>5510.5</v>
      </c>
      <c r="R16" s="23">
        <v>21916</v>
      </c>
      <c r="S16" s="24">
        <v>41851.300000000003</v>
      </c>
      <c r="T16" s="19"/>
      <c r="U16" s="19"/>
      <c r="V16" s="19"/>
    </row>
    <row r="17" spans="1:22" ht="12.75" customHeight="1" x14ac:dyDescent="0.2">
      <c r="A17" s="20" t="s">
        <v>36</v>
      </c>
      <c r="B17" s="21" t="s">
        <v>37</v>
      </c>
      <c r="C17" s="23">
        <v>1940.3</v>
      </c>
      <c r="D17" s="23"/>
      <c r="E17" s="23"/>
      <c r="F17" s="23"/>
      <c r="G17" s="23"/>
      <c r="H17" s="24">
        <v>1940.3</v>
      </c>
      <c r="I17" s="23">
        <v>25906.6</v>
      </c>
      <c r="J17" s="23"/>
      <c r="K17" s="23">
        <v>819.8</v>
      </c>
      <c r="L17" s="23">
        <v>731</v>
      </c>
      <c r="M17" s="23">
        <v>193.5</v>
      </c>
      <c r="N17" s="24">
        <v>27650.9</v>
      </c>
      <c r="O17" s="23"/>
      <c r="P17" s="23">
        <v>736.6</v>
      </c>
      <c r="Q17" s="23">
        <v>28387.5</v>
      </c>
      <c r="R17" s="23">
        <v>39310</v>
      </c>
      <c r="S17" s="24">
        <v>69637.8</v>
      </c>
      <c r="T17" s="19"/>
      <c r="U17" s="19"/>
      <c r="V17" s="19"/>
    </row>
    <row r="18" spans="1:22" ht="12.75" customHeight="1" x14ac:dyDescent="0.2">
      <c r="A18" s="20" t="s">
        <v>38</v>
      </c>
      <c r="B18" s="21" t="s">
        <v>39</v>
      </c>
      <c r="C18" s="23">
        <v>69805</v>
      </c>
      <c r="D18" s="23"/>
      <c r="E18" s="23">
        <v>175</v>
      </c>
      <c r="F18" s="23">
        <v>175</v>
      </c>
      <c r="G18" s="23"/>
      <c r="H18" s="24">
        <v>69980</v>
      </c>
      <c r="I18" s="23">
        <v>35853.300000000003</v>
      </c>
      <c r="J18" s="23"/>
      <c r="K18" s="23">
        <v>620.5</v>
      </c>
      <c r="L18" s="23">
        <v>3547.6</v>
      </c>
      <c r="M18" s="23">
        <v>486.5</v>
      </c>
      <c r="N18" s="24">
        <v>40507.9</v>
      </c>
      <c r="O18" s="23"/>
      <c r="P18" s="23">
        <v>-2734.5</v>
      </c>
      <c r="Q18" s="23">
        <v>37773.4</v>
      </c>
      <c r="R18" s="23">
        <v>103371</v>
      </c>
      <c r="S18" s="24">
        <v>211124.4</v>
      </c>
      <c r="T18" s="19"/>
      <c r="U18" s="19"/>
      <c r="V18" s="19"/>
    </row>
    <row r="19" spans="1:22" ht="12.75" customHeight="1" x14ac:dyDescent="0.2">
      <c r="A19" s="20" t="s">
        <v>40</v>
      </c>
      <c r="B19" s="21" t="s">
        <v>41</v>
      </c>
      <c r="C19" s="23">
        <v>47255.7</v>
      </c>
      <c r="D19" s="23"/>
      <c r="E19" s="23">
        <v>4219.2</v>
      </c>
      <c r="F19" s="23">
        <v>4219.2</v>
      </c>
      <c r="G19" s="23"/>
      <c r="H19" s="24">
        <v>51474.9</v>
      </c>
      <c r="I19" s="23">
        <v>30032.5</v>
      </c>
      <c r="J19" s="23"/>
      <c r="K19" s="23">
        <v>851.5</v>
      </c>
      <c r="L19" s="23">
        <v>1847.7</v>
      </c>
      <c r="M19" s="23">
        <v>439.2</v>
      </c>
      <c r="N19" s="24">
        <v>33170.9</v>
      </c>
      <c r="O19" s="23">
        <v>968.5</v>
      </c>
      <c r="P19" s="23">
        <v>640</v>
      </c>
      <c r="Q19" s="23">
        <v>34779.4</v>
      </c>
      <c r="R19" s="23">
        <v>25627</v>
      </c>
      <c r="S19" s="24">
        <v>111881.3</v>
      </c>
      <c r="T19" s="19"/>
      <c r="U19" s="19"/>
      <c r="V19" s="19"/>
    </row>
    <row r="20" spans="1:22" ht="12.75" customHeight="1" x14ac:dyDescent="0.2">
      <c r="A20" s="20" t="s">
        <v>42</v>
      </c>
      <c r="B20" s="21" t="s">
        <v>43</v>
      </c>
      <c r="C20" s="23">
        <v>48937.9</v>
      </c>
      <c r="D20" s="23"/>
      <c r="E20" s="23">
        <v>468</v>
      </c>
      <c r="F20" s="23">
        <v>468</v>
      </c>
      <c r="G20" s="23"/>
      <c r="H20" s="24">
        <v>49405.9</v>
      </c>
      <c r="I20" s="23"/>
      <c r="J20" s="23"/>
      <c r="K20" s="23"/>
      <c r="L20" s="23"/>
      <c r="M20" s="23"/>
      <c r="N20" s="24"/>
      <c r="O20" s="23"/>
      <c r="P20" s="23"/>
      <c r="Q20" s="23"/>
      <c r="R20" s="23">
        <v>6074</v>
      </c>
      <c r="S20" s="24">
        <v>55479.9</v>
      </c>
      <c r="T20" s="19"/>
      <c r="U20" s="19"/>
      <c r="V20" s="19"/>
    </row>
    <row r="21" spans="1:22" ht="12.75" customHeight="1" x14ac:dyDescent="0.2">
      <c r="A21" s="20" t="s">
        <v>44</v>
      </c>
      <c r="B21" s="21" t="s">
        <v>45</v>
      </c>
      <c r="C21" s="23">
        <v>15331.1</v>
      </c>
      <c r="D21" s="23"/>
      <c r="E21" s="23"/>
      <c r="F21" s="23"/>
      <c r="G21" s="23"/>
      <c r="H21" s="24">
        <v>15331.1</v>
      </c>
      <c r="I21" s="23"/>
      <c r="J21" s="23"/>
      <c r="K21" s="23"/>
      <c r="L21" s="23"/>
      <c r="M21" s="23"/>
      <c r="N21" s="24"/>
      <c r="O21" s="23"/>
      <c r="P21" s="23"/>
      <c r="Q21" s="23"/>
      <c r="R21" s="23">
        <v>6254</v>
      </c>
      <c r="S21" s="24">
        <v>21585.1</v>
      </c>
      <c r="T21" s="19"/>
      <c r="U21" s="19"/>
      <c r="V21" s="19"/>
    </row>
    <row r="22" spans="1:22" s="32" customFormat="1" ht="12.75" customHeight="1" x14ac:dyDescent="0.25">
      <c r="A22" s="47" t="s">
        <v>46</v>
      </c>
      <c r="B22" s="48" t="s">
        <v>47</v>
      </c>
      <c r="C22" s="49">
        <v>21747.1</v>
      </c>
      <c r="D22" s="49"/>
      <c r="E22" s="49"/>
      <c r="F22" s="49"/>
      <c r="G22" s="49"/>
      <c r="H22" s="50">
        <v>21747.1</v>
      </c>
      <c r="I22" s="49">
        <v>78669.3</v>
      </c>
      <c r="J22" s="49">
        <v>109517</v>
      </c>
      <c r="K22" s="49">
        <v>11557.5</v>
      </c>
      <c r="L22" s="49">
        <v>56405</v>
      </c>
      <c r="M22" s="49">
        <v>2890.6</v>
      </c>
      <c r="N22" s="50">
        <v>259039.4</v>
      </c>
      <c r="O22" s="49"/>
      <c r="P22" s="49">
        <v>-839.6</v>
      </c>
      <c r="Q22" s="49">
        <v>258199.8</v>
      </c>
      <c r="R22" s="49"/>
      <c r="S22" s="50">
        <v>279946.90000000002</v>
      </c>
      <c r="T22" s="47"/>
      <c r="U22" s="47"/>
      <c r="V22" s="47"/>
    </row>
    <row r="23" spans="1:22" ht="12.75" customHeight="1" x14ac:dyDescent="0.2">
      <c r="A23" s="20" t="s">
        <v>48</v>
      </c>
      <c r="B23" s="21" t="s">
        <v>49</v>
      </c>
      <c r="C23" s="23">
        <v>17242</v>
      </c>
      <c r="D23" s="23"/>
      <c r="E23" s="23"/>
      <c r="F23" s="23"/>
      <c r="G23" s="23"/>
      <c r="H23" s="24">
        <v>17242</v>
      </c>
      <c r="I23" s="23"/>
      <c r="J23" s="23"/>
      <c r="K23" s="23"/>
      <c r="L23" s="23"/>
      <c r="M23" s="23"/>
      <c r="N23" s="24"/>
      <c r="O23" s="23"/>
      <c r="P23" s="23"/>
      <c r="Q23" s="23"/>
      <c r="R23" s="23">
        <v>6548</v>
      </c>
      <c r="S23" s="24">
        <v>23790</v>
      </c>
      <c r="T23" s="19"/>
      <c r="U23" s="19"/>
      <c r="V23" s="19"/>
    </row>
    <row r="24" spans="1:22" ht="12.75" customHeight="1" x14ac:dyDescent="0.2">
      <c r="A24" s="20" t="s">
        <v>50</v>
      </c>
      <c r="B24" s="21" t="s">
        <v>51</v>
      </c>
      <c r="C24" s="23">
        <v>32388.5</v>
      </c>
      <c r="D24" s="23"/>
      <c r="E24" s="23">
        <v>3468.2</v>
      </c>
      <c r="F24" s="23">
        <v>3468.2</v>
      </c>
      <c r="G24" s="23"/>
      <c r="H24" s="24">
        <v>35856.699999999997</v>
      </c>
      <c r="I24" s="23"/>
      <c r="J24" s="23"/>
      <c r="K24" s="23"/>
      <c r="L24" s="23"/>
      <c r="M24" s="23"/>
      <c r="N24" s="24"/>
      <c r="O24" s="23"/>
      <c r="P24" s="23"/>
      <c r="Q24" s="23"/>
      <c r="R24" s="23">
        <v>53378</v>
      </c>
      <c r="S24" s="24">
        <v>89234.7</v>
      </c>
      <c r="T24" s="19"/>
      <c r="U24" s="19"/>
      <c r="V24" s="19"/>
    </row>
    <row r="25" spans="1:22" ht="12.75" customHeight="1" x14ac:dyDescent="0.2">
      <c r="A25" s="20" t="s">
        <v>52</v>
      </c>
      <c r="B25" s="21" t="s">
        <v>53</v>
      </c>
      <c r="C25" s="23">
        <v>77543.600000000006</v>
      </c>
      <c r="D25" s="23"/>
      <c r="E25" s="23">
        <v>912.9</v>
      </c>
      <c r="F25" s="23">
        <v>912.9</v>
      </c>
      <c r="G25" s="23"/>
      <c r="H25" s="24">
        <v>78456.5</v>
      </c>
      <c r="I25" s="23"/>
      <c r="J25" s="23"/>
      <c r="K25" s="23"/>
      <c r="L25" s="23"/>
      <c r="M25" s="23"/>
      <c r="N25" s="24"/>
      <c r="O25" s="23"/>
      <c r="P25" s="23"/>
      <c r="Q25" s="23"/>
      <c r="R25" s="23"/>
      <c r="S25" s="24">
        <v>78456.5</v>
      </c>
      <c r="T25" s="19"/>
      <c r="U25" s="19"/>
      <c r="V25" s="19"/>
    </row>
    <row r="26" spans="1:22" ht="12.75" customHeight="1" x14ac:dyDescent="0.2">
      <c r="A26" s="20" t="s">
        <v>54</v>
      </c>
      <c r="B26" s="21" t="s">
        <v>55</v>
      </c>
      <c r="C26" s="23">
        <v>15541.4</v>
      </c>
      <c r="D26" s="23"/>
      <c r="E26" s="23">
        <v>3628.6</v>
      </c>
      <c r="F26" s="23">
        <v>3628.6</v>
      </c>
      <c r="G26" s="23"/>
      <c r="H26" s="24">
        <v>19170</v>
      </c>
      <c r="I26" s="23">
        <v>18251.7</v>
      </c>
      <c r="J26" s="23"/>
      <c r="K26" s="23">
        <v>1618.6</v>
      </c>
      <c r="L26" s="23">
        <v>1065</v>
      </c>
      <c r="M26" s="23"/>
      <c r="N26" s="24">
        <v>20935.3</v>
      </c>
      <c r="O26" s="23"/>
      <c r="P26" s="23">
        <v>-375.3</v>
      </c>
      <c r="Q26" s="23">
        <v>20560</v>
      </c>
      <c r="R26" s="23">
        <v>4280</v>
      </c>
      <c r="S26" s="24">
        <v>44010</v>
      </c>
      <c r="T26" s="19"/>
      <c r="U26" s="19"/>
      <c r="V26" s="19"/>
    </row>
    <row r="27" spans="1:22" ht="12.75" customHeight="1" x14ac:dyDescent="0.2">
      <c r="A27" s="20" t="s">
        <v>56</v>
      </c>
      <c r="B27" s="21" t="s">
        <v>57</v>
      </c>
      <c r="C27" s="23">
        <v>27800.3</v>
      </c>
      <c r="D27" s="23"/>
      <c r="E27" s="23"/>
      <c r="F27" s="23"/>
      <c r="G27" s="23"/>
      <c r="H27" s="24">
        <v>27800.3</v>
      </c>
      <c r="I27" s="23"/>
      <c r="J27" s="23"/>
      <c r="K27" s="23"/>
      <c r="L27" s="23"/>
      <c r="M27" s="23"/>
      <c r="N27" s="24"/>
      <c r="O27" s="23"/>
      <c r="P27" s="23"/>
      <c r="Q27" s="23"/>
      <c r="R27" s="23">
        <v>2383</v>
      </c>
      <c r="S27" s="24">
        <v>30183.3</v>
      </c>
      <c r="T27" s="19"/>
      <c r="U27" s="19"/>
      <c r="V27" s="19"/>
    </row>
    <row r="28" spans="1:22" ht="12.75" customHeight="1" x14ac:dyDescent="0.2">
      <c r="A28" s="20" t="s">
        <v>58</v>
      </c>
      <c r="B28" s="21" t="s">
        <v>59</v>
      </c>
      <c r="C28" s="23">
        <v>1791.1</v>
      </c>
      <c r="D28" s="23"/>
      <c r="E28" s="23"/>
      <c r="F28" s="23"/>
      <c r="G28" s="23"/>
      <c r="H28" s="24">
        <v>1791.1</v>
      </c>
      <c r="I28" s="23">
        <v>66246.8</v>
      </c>
      <c r="J28" s="23"/>
      <c r="K28" s="23">
        <v>6990.3</v>
      </c>
      <c r="L28" s="23">
        <v>3845.9</v>
      </c>
      <c r="M28" s="23">
        <v>137</v>
      </c>
      <c r="N28" s="24">
        <v>77220</v>
      </c>
      <c r="O28" s="23"/>
      <c r="P28" s="23">
        <v>136.30000000000001</v>
      </c>
      <c r="Q28" s="23">
        <v>77356.3</v>
      </c>
      <c r="R28" s="23">
        <v>17104</v>
      </c>
      <c r="S28" s="24">
        <v>96251.4</v>
      </c>
      <c r="T28" s="19"/>
      <c r="U28" s="19"/>
      <c r="V28" s="19"/>
    </row>
    <row r="29" spans="1:22" ht="12.75" customHeight="1" x14ac:dyDescent="0.2">
      <c r="A29" s="20" t="s">
        <v>60</v>
      </c>
      <c r="B29" s="21" t="s">
        <v>61</v>
      </c>
      <c r="C29" s="23">
        <v>74533.600000000006</v>
      </c>
      <c r="D29" s="23"/>
      <c r="E29" s="23"/>
      <c r="F29" s="23"/>
      <c r="G29" s="23"/>
      <c r="H29" s="24">
        <v>74533.600000000006</v>
      </c>
      <c r="I29" s="23"/>
      <c r="J29" s="23"/>
      <c r="K29" s="23"/>
      <c r="L29" s="23"/>
      <c r="M29" s="23"/>
      <c r="N29" s="24"/>
      <c r="O29" s="23"/>
      <c r="P29" s="23"/>
      <c r="Q29" s="23"/>
      <c r="R29" s="23">
        <v>20937</v>
      </c>
      <c r="S29" s="24">
        <v>95470.6</v>
      </c>
      <c r="T29" s="19"/>
      <c r="U29" s="19"/>
      <c r="V29" s="19"/>
    </row>
    <row r="30" spans="1:22" ht="12.75" customHeight="1" x14ac:dyDescent="0.2">
      <c r="A30" s="20" t="s">
        <v>62</v>
      </c>
      <c r="B30" s="21" t="s">
        <v>63</v>
      </c>
      <c r="C30" s="23">
        <v>254212.3</v>
      </c>
      <c r="D30" s="23"/>
      <c r="E30" s="23">
        <v>14033.2</v>
      </c>
      <c r="F30" s="23">
        <v>14033.2</v>
      </c>
      <c r="G30" s="23"/>
      <c r="H30" s="24">
        <v>268245.5</v>
      </c>
      <c r="I30" s="23">
        <v>772.2</v>
      </c>
      <c r="J30" s="23">
        <v>7421.8</v>
      </c>
      <c r="K30" s="23">
        <v>201.8</v>
      </c>
      <c r="L30" s="23"/>
      <c r="M30" s="23"/>
      <c r="N30" s="24">
        <v>8395.7999999999993</v>
      </c>
      <c r="O30" s="23"/>
      <c r="P30" s="23"/>
      <c r="Q30" s="23">
        <v>8395.7999999999993</v>
      </c>
      <c r="R30" s="23"/>
      <c r="S30" s="24">
        <v>276641.3</v>
      </c>
      <c r="T30" s="19"/>
      <c r="U30" s="19"/>
      <c r="V30" s="19"/>
    </row>
    <row r="31" spans="1:22" ht="12.75" customHeight="1" x14ac:dyDescent="0.2">
      <c r="A31" s="20" t="s">
        <v>64</v>
      </c>
      <c r="B31" s="21" t="s">
        <v>65</v>
      </c>
      <c r="C31" s="23">
        <v>12071.3</v>
      </c>
      <c r="D31" s="23"/>
      <c r="E31" s="23"/>
      <c r="F31" s="23"/>
      <c r="G31" s="23"/>
      <c r="H31" s="24">
        <v>12071.3</v>
      </c>
      <c r="I31" s="23">
        <v>25272.6</v>
      </c>
      <c r="J31" s="23">
        <v>31684.799999999999</v>
      </c>
      <c r="K31" s="23">
        <v>841.8</v>
      </c>
      <c r="L31" s="23">
        <v>1874</v>
      </c>
      <c r="M31" s="23">
        <v>340</v>
      </c>
      <c r="N31" s="24">
        <v>60013.2</v>
      </c>
      <c r="O31" s="23"/>
      <c r="P31" s="23">
        <v>328.5</v>
      </c>
      <c r="Q31" s="23">
        <v>60341.7</v>
      </c>
      <c r="R31" s="23">
        <v>30529</v>
      </c>
      <c r="S31" s="24">
        <v>102942</v>
      </c>
      <c r="T31" s="19"/>
      <c r="U31" s="19"/>
      <c r="V31" s="19"/>
    </row>
    <row r="32" spans="1:22" ht="12.75" customHeight="1" x14ac:dyDescent="0.2">
      <c r="A32" s="20" t="s">
        <v>66</v>
      </c>
      <c r="B32" s="21" t="s">
        <v>67</v>
      </c>
      <c r="C32" s="23"/>
      <c r="D32" s="23">
        <v>13947</v>
      </c>
      <c r="E32" s="23"/>
      <c r="F32" s="23">
        <v>13947</v>
      </c>
      <c r="G32" s="23"/>
      <c r="H32" s="24">
        <v>13947</v>
      </c>
      <c r="I32" s="23">
        <v>36979.300000000003</v>
      </c>
      <c r="J32" s="23"/>
      <c r="K32" s="23"/>
      <c r="L32" s="23">
        <v>19161</v>
      </c>
      <c r="M32" s="23"/>
      <c r="N32" s="24">
        <v>56140.3</v>
      </c>
      <c r="O32" s="23"/>
      <c r="P32" s="23">
        <v>71.2</v>
      </c>
      <c r="Q32" s="23">
        <v>56211.5</v>
      </c>
      <c r="R32" s="23">
        <v>8640</v>
      </c>
      <c r="S32" s="24">
        <v>78798.5</v>
      </c>
      <c r="T32" s="19"/>
      <c r="U32" s="19"/>
      <c r="V32" s="19"/>
    </row>
    <row r="33" spans="1:22" ht="12.75" customHeight="1" x14ac:dyDescent="0.2">
      <c r="A33" s="20" t="s">
        <v>68</v>
      </c>
      <c r="B33" s="21" t="s">
        <v>69</v>
      </c>
      <c r="C33" s="23">
        <v>5121.6000000000004</v>
      </c>
      <c r="D33" s="23"/>
      <c r="E33" s="23"/>
      <c r="F33" s="23"/>
      <c r="G33" s="23"/>
      <c r="H33" s="24">
        <v>5121.6000000000004</v>
      </c>
      <c r="I33" s="23"/>
      <c r="J33" s="23"/>
      <c r="K33" s="23"/>
      <c r="L33" s="23"/>
      <c r="M33" s="23"/>
      <c r="N33" s="24"/>
      <c r="O33" s="23"/>
      <c r="P33" s="23">
        <v>172.3</v>
      </c>
      <c r="Q33" s="23">
        <v>172.3</v>
      </c>
      <c r="R33" s="23">
        <v>5479</v>
      </c>
      <c r="S33" s="24">
        <v>10772.9</v>
      </c>
      <c r="T33" s="19"/>
      <c r="U33" s="19"/>
      <c r="V33" s="19"/>
    </row>
    <row r="34" spans="1:22" ht="12.75" customHeight="1" x14ac:dyDescent="0.2">
      <c r="A34" s="20" t="s">
        <v>70</v>
      </c>
      <c r="B34" s="21" t="s">
        <v>71</v>
      </c>
      <c r="C34" s="23">
        <v>10060</v>
      </c>
      <c r="D34" s="23"/>
      <c r="E34" s="23">
        <v>1142</v>
      </c>
      <c r="F34" s="23">
        <v>1142</v>
      </c>
      <c r="G34" s="23"/>
      <c r="H34" s="24">
        <v>11202</v>
      </c>
      <c r="I34" s="23"/>
      <c r="J34" s="23"/>
      <c r="K34" s="23"/>
      <c r="L34" s="23"/>
      <c r="M34" s="23"/>
      <c r="N34" s="24"/>
      <c r="O34" s="23"/>
      <c r="P34" s="23">
        <v>21.4</v>
      </c>
      <c r="Q34" s="23">
        <v>21.4</v>
      </c>
      <c r="R34" s="23">
        <v>36681</v>
      </c>
      <c r="S34" s="24">
        <v>47904.4</v>
      </c>
      <c r="T34" s="19"/>
      <c r="U34" s="19"/>
      <c r="V34" s="19"/>
    </row>
    <row r="35" spans="1:22" ht="12.75" customHeight="1" x14ac:dyDescent="0.2">
      <c r="A35" s="20" t="s">
        <v>72</v>
      </c>
      <c r="B35" s="21" t="s">
        <v>73</v>
      </c>
      <c r="C35" s="23">
        <v>688</v>
      </c>
      <c r="D35" s="23">
        <v>191288.7</v>
      </c>
      <c r="E35" s="23">
        <v>18207.400000000001</v>
      </c>
      <c r="F35" s="23">
        <v>209496.1</v>
      </c>
      <c r="G35" s="23"/>
      <c r="H35" s="24">
        <v>210184.1</v>
      </c>
      <c r="I35" s="23"/>
      <c r="J35" s="23"/>
      <c r="K35" s="23"/>
      <c r="L35" s="23"/>
      <c r="M35" s="23"/>
      <c r="N35" s="24"/>
      <c r="O35" s="23"/>
      <c r="P35" s="23"/>
      <c r="Q35" s="23"/>
      <c r="R35" s="23"/>
      <c r="S35" s="24">
        <v>210184.1</v>
      </c>
      <c r="T35" s="19"/>
      <c r="U35" s="19"/>
      <c r="V35" s="19"/>
    </row>
    <row r="36" spans="1:22" ht="12.75" customHeight="1" x14ac:dyDescent="0.2">
      <c r="A36" s="20" t="s">
        <v>74</v>
      </c>
      <c r="B36" s="21" t="s">
        <v>75</v>
      </c>
      <c r="C36" s="23">
        <v>9709.9</v>
      </c>
      <c r="D36" s="23"/>
      <c r="E36" s="23">
        <v>106941.4</v>
      </c>
      <c r="F36" s="23">
        <v>106941.4</v>
      </c>
      <c r="G36" s="23">
        <v>4823</v>
      </c>
      <c r="H36" s="24">
        <v>121474.3</v>
      </c>
      <c r="I36" s="23"/>
      <c r="J36" s="23"/>
      <c r="K36" s="23"/>
      <c r="L36" s="23"/>
      <c r="M36" s="23"/>
      <c r="N36" s="24"/>
      <c r="O36" s="23"/>
      <c r="P36" s="23"/>
      <c r="Q36" s="23"/>
      <c r="R36" s="23"/>
      <c r="S36" s="24">
        <v>121474.3</v>
      </c>
      <c r="T36" s="19"/>
      <c r="U36" s="19"/>
      <c r="V36" s="19"/>
    </row>
    <row r="37" spans="1:22" ht="12.75" customHeight="1" x14ac:dyDescent="0.2">
      <c r="A37" s="20" t="s">
        <v>76</v>
      </c>
      <c r="B37" s="21" t="s">
        <v>77</v>
      </c>
      <c r="C37" s="23">
        <v>31738.9</v>
      </c>
      <c r="D37" s="23"/>
      <c r="E37" s="23">
        <v>160576.20000000001</v>
      </c>
      <c r="F37" s="23">
        <v>160576.20000000001</v>
      </c>
      <c r="G37" s="23"/>
      <c r="H37" s="24">
        <v>192315.1</v>
      </c>
      <c r="I37" s="23"/>
      <c r="J37" s="23"/>
      <c r="K37" s="23"/>
      <c r="L37" s="23"/>
      <c r="M37" s="23"/>
      <c r="N37" s="24"/>
      <c r="O37" s="23"/>
      <c r="P37" s="23"/>
      <c r="Q37" s="23"/>
      <c r="R37" s="23">
        <v>930</v>
      </c>
      <c r="S37" s="24">
        <v>193245.1</v>
      </c>
      <c r="T37" s="19"/>
      <c r="U37" s="19"/>
      <c r="V37" s="19"/>
    </row>
    <row r="38" spans="1:22" ht="12.75" customHeight="1" x14ac:dyDescent="0.2">
      <c r="A38" s="20" t="s">
        <v>78</v>
      </c>
      <c r="B38" s="21" t="s">
        <v>79</v>
      </c>
      <c r="C38" s="23">
        <v>24388.3</v>
      </c>
      <c r="D38" s="23"/>
      <c r="E38" s="23">
        <v>39676.400000000001</v>
      </c>
      <c r="F38" s="23">
        <v>39676.400000000001</v>
      </c>
      <c r="G38" s="23">
        <v>27536.9</v>
      </c>
      <c r="H38" s="24">
        <v>91601.600000000006</v>
      </c>
      <c r="I38" s="23"/>
      <c r="J38" s="23"/>
      <c r="K38" s="23"/>
      <c r="L38" s="23"/>
      <c r="M38" s="23"/>
      <c r="N38" s="24"/>
      <c r="O38" s="23"/>
      <c r="P38" s="23"/>
      <c r="Q38" s="23"/>
      <c r="R38" s="23"/>
      <c r="S38" s="24">
        <v>91601.600000000006</v>
      </c>
      <c r="T38" s="19"/>
      <c r="U38" s="19"/>
      <c r="V38" s="19"/>
    </row>
    <row r="39" spans="1:22" ht="12.75" customHeight="1" x14ac:dyDescent="0.2">
      <c r="A39" s="20" t="s">
        <v>80</v>
      </c>
      <c r="B39" s="21" t="s">
        <v>81</v>
      </c>
      <c r="C39" s="23">
        <v>20980.2</v>
      </c>
      <c r="D39" s="23"/>
      <c r="E39" s="23">
        <v>20687.5</v>
      </c>
      <c r="F39" s="23">
        <v>20687.5</v>
      </c>
      <c r="G39" s="23">
        <v>6499.1</v>
      </c>
      <c r="H39" s="24">
        <v>48166.8</v>
      </c>
      <c r="I39" s="23">
        <v>35</v>
      </c>
      <c r="J39" s="23"/>
      <c r="K39" s="23"/>
      <c r="L39" s="23">
        <v>111</v>
      </c>
      <c r="M39" s="23"/>
      <c r="N39" s="24">
        <v>146</v>
      </c>
      <c r="O39" s="23"/>
      <c r="P39" s="23">
        <v>-3.4</v>
      </c>
      <c r="Q39" s="23">
        <v>142.6</v>
      </c>
      <c r="R39" s="23">
        <v>1740</v>
      </c>
      <c r="S39" s="24">
        <v>50049.4</v>
      </c>
      <c r="T39" s="19"/>
      <c r="U39" s="19"/>
      <c r="V39" s="19"/>
    </row>
    <row r="40" spans="1:22" ht="12.75" customHeight="1" x14ac:dyDescent="0.2">
      <c r="A40" s="20" t="s">
        <v>82</v>
      </c>
      <c r="B40" s="21" t="s">
        <v>83</v>
      </c>
      <c r="C40" s="23">
        <v>21128.9</v>
      </c>
      <c r="D40" s="23">
        <v>13.7</v>
      </c>
      <c r="E40" s="23">
        <v>153</v>
      </c>
      <c r="F40" s="23">
        <v>166.7</v>
      </c>
      <c r="G40" s="23">
        <v>13589</v>
      </c>
      <c r="H40" s="24">
        <v>34884.6</v>
      </c>
      <c r="I40" s="23">
        <v>1752.6</v>
      </c>
      <c r="J40" s="23"/>
      <c r="K40" s="23">
        <v>303.3</v>
      </c>
      <c r="L40" s="23">
        <v>220</v>
      </c>
      <c r="M40" s="23"/>
      <c r="N40" s="24">
        <v>2275.9</v>
      </c>
      <c r="O40" s="23"/>
      <c r="P40" s="23">
        <v>188.5</v>
      </c>
      <c r="Q40" s="23">
        <v>2464.4</v>
      </c>
      <c r="R40" s="23">
        <v>2392</v>
      </c>
      <c r="S40" s="24">
        <v>39741</v>
      </c>
      <c r="T40" s="19"/>
      <c r="U40" s="19"/>
      <c r="V40" s="19"/>
    </row>
    <row r="41" spans="1:22" ht="12.75" customHeight="1" x14ac:dyDescent="0.2">
      <c r="A41" s="20" t="s">
        <v>84</v>
      </c>
      <c r="B41" s="21" t="s">
        <v>85</v>
      </c>
      <c r="C41" s="23">
        <v>1005.9</v>
      </c>
      <c r="D41" s="23"/>
      <c r="E41" s="23">
        <v>456</v>
      </c>
      <c r="F41" s="23">
        <v>456</v>
      </c>
      <c r="G41" s="23"/>
      <c r="H41" s="24">
        <v>1461.9</v>
      </c>
      <c r="I41" s="23"/>
      <c r="J41" s="23"/>
      <c r="K41" s="23"/>
      <c r="L41" s="23"/>
      <c r="M41" s="23"/>
      <c r="N41" s="24"/>
      <c r="O41" s="23"/>
      <c r="P41" s="23"/>
      <c r="Q41" s="23"/>
      <c r="R41" s="23"/>
      <c r="S41" s="24">
        <v>1461.9</v>
      </c>
      <c r="T41" s="19"/>
      <c r="U41" s="19"/>
      <c r="V41" s="19"/>
    </row>
    <row r="42" spans="1:22" ht="12.75" customHeight="1" x14ac:dyDescent="0.2">
      <c r="A42" s="20" t="s">
        <v>86</v>
      </c>
      <c r="B42" s="21" t="s">
        <v>87</v>
      </c>
      <c r="C42" s="23">
        <v>-9318</v>
      </c>
      <c r="D42" s="23"/>
      <c r="E42" s="23"/>
      <c r="F42" s="23"/>
      <c r="G42" s="23"/>
      <c r="H42" s="24">
        <v>-9318</v>
      </c>
      <c r="I42" s="23"/>
      <c r="J42" s="23"/>
      <c r="K42" s="23"/>
      <c r="L42" s="23"/>
      <c r="M42" s="23"/>
      <c r="N42" s="24"/>
      <c r="O42" s="23"/>
      <c r="P42" s="23"/>
      <c r="Q42" s="23"/>
      <c r="R42" s="23">
        <v>37449</v>
      </c>
      <c r="S42" s="24">
        <v>28131</v>
      </c>
      <c r="T42" s="19"/>
      <c r="U42" s="19"/>
      <c r="V42" s="19"/>
    </row>
    <row r="43" spans="1:22" ht="12.75" customHeight="1" x14ac:dyDescent="0.2">
      <c r="A43" s="20" t="s">
        <v>88</v>
      </c>
      <c r="B43" s="21" t="s">
        <v>89</v>
      </c>
      <c r="C43" s="23"/>
      <c r="D43" s="23"/>
      <c r="E43" s="23"/>
      <c r="F43" s="23"/>
      <c r="G43" s="23"/>
      <c r="H43" s="24"/>
      <c r="I43" s="23"/>
      <c r="J43" s="23"/>
      <c r="K43" s="23"/>
      <c r="L43" s="23"/>
      <c r="M43" s="23"/>
      <c r="N43" s="24"/>
      <c r="O43" s="23"/>
      <c r="P43" s="23"/>
      <c r="Q43" s="23"/>
      <c r="R43" s="23"/>
      <c r="S43" s="24"/>
      <c r="T43" s="19"/>
      <c r="U43" s="19"/>
      <c r="V43" s="19"/>
    </row>
    <row r="44" spans="1:22" ht="12.75" customHeight="1" x14ac:dyDescent="0.2">
      <c r="A44" s="20" t="s">
        <v>90</v>
      </c>
      <c r="B44" s="21" t="s">
        <v>91</v>
      </c>
      <c r="C44" s="24">
        <v>1263041.6000000001</v>
      </c>
      <c r="D44" s="24">
        <v>205249.4</v>
      </c>
      <c r="E44" s="24">
        <v>405514</v>
      </c>
      <c r="F44" s="24">
        <v>610763.4</v>
      </c>
      <c r="G44" s="24">
        <v>52448</v>
      </c>
      <c r="H44" s="24">
        <v>1926252.9</v>
      </c>
      <c r="I44" s="24">
        <v>340957.4</v>
      </c>
      <c r="J44" s="24">
        <v>148623.6</v>
      </c>
      <c r="K44" s="24">
        <v>27283</v>
      </c>
      <c r="L44" s="24">
        <v>90077</v>
      </c>
      <c r="M44" s="24">
        <v>5257</v>
      </c>
      <c r="N44" s="24">
        <v>612198</v>
      </c>
      <c r="O44" s="24">
        <v>1320.6</v>
      </c>
      <c r="P44" s="24">
        <v>9444.6</v>
      </c>
      <c r="Q44" s="24">
        <v>622963.19999999995</v>
      </c>
      <c r="R44" s="24">
        <v>751511</v>
      </c>
      <c r="S44" s="24">
        <v>3300727.2</v>
      </c>
      <c r="T44" s="19"/>
      <c r="U44" s="19"/>
      <c r="V44" s="19"/>
    </row>
    <row r="45" spans="1:22" ht="12.7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 customHeight="1" x14ac:dyDescent="0.2"/>
    <row r="53" spans="1:22" ht="12.75" customHeight="1" x14ac:dyDescent="0.2"/>
    <row r="54" spans="1:22" ht="12.75" customHeight="1" x14ac:dyDescent="0.2"/>
    <row r="55" spans="1:22" ht="12.75" customHeight="1" x14ac:dyDescent="0.2"/>
    <row r="56" spans="1:22" ht="12.75" customHeight="1" x14ac:dyDescent="0.2"/>
    <row r="57" spans="1:22" ht="12.75" customHeight="1" x14ac:dyDescent="0.2"/>
    <row r="58" spans="1:22" ht="12.75" customHeight="1" x14ac:dyDescent="0.2"/>
  </sheetData>
  <mergeCells count="5">
    <mergeCell ref="C1:S1"/>
    <mergeCell ref="C2:S2"/>
    <mergeCell ref="A3:B4"/>
    <mergeCell ref="C3:H3"/>
    <mergeCell ref="I3:N3"/>
  </mergeCells>
  <pageMargins left="0" right="0" top="0" bottom="0" header="0.511811023622047" footer="0.511811023622047"/>
  <pageSetup paperSize="9" scale="8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3"/>
  <sheetViews>
    <sheetView topLeftCell="A2" zoomScale="75" zoomScaleNormal="75" workbookViewId="0">
      <selection activeCell="A39" sqref="A39:A40"/>
    </sheetView>
  </sheetViews>
  <sheetFormatPr baseColWidth="10" defaultColWidth="10.7109375" defaultRowHeight="15" outlineLevelCol="1" x14ac:dyDescent="0.2"/>
  <cols>
    <col min="1" max="1" width="20.5703125" style="32" customWidth="1" outlineLevel="1"/>
    <col min="2" max="2" width="6.7109375" style="44" customWidth="1" outlineLevel="1"/>
    <col min="3" max="3" width="5.85546875" customWidth="1" outlineLevel="1"/>
    <col min="4" max="4" width="5.7109375" customWidth="1" outlineLevel="1"/>
    <col min="5" max="5" width="5.85546875" customWidth="1" outlineLevel="1"/>
    <col min="6" max="7" width="5.42578125" customWidth="1" outlineLevel="1"/>
    <col min="8" max="8" width="5.7109375" customWidth="1" outlineLevel="1"/>
    <col min="9" max="9" width="5.42578125" customWidth="1" outlineLevel="1"/>
    <col min="10" max="10" width="5.7109375" customWidth="1" outlineLevel="1"/>
    <col min="11" max="11" width="5.5703125" customWidth="1" outlineLevel="1"/>
    <col min="12" max="12" width="5.7109375" customWidth="1" outlineLevel="1"/>
    <col min="13" max="14" width="6" customWidth="1" outlineLevel="1"/>
    <col min="15" max="15" width="5.42578125" customWidth="1" outlineLevel="1"/>
    <col min="16" max="16" width="5.85546875" customWidth="1" outlineLevel="1"/>
    <col min="17" max="19" width="5.7109375" customWidth="1" outlineLevel="1"/>
    <col min="20" max="20" width="11.42578125" customWidth="1" outlineLevel="1"/>
    <col min="21" max="22" width="5.7109375" customWidth="1" outlineLevel="1"/>
    <col min="23" max="23" width="6" customWidth="1" outlineLevel="1"/>
    <col min="24" max="24" width="5.42578125" customWidth="1" outlineLevel="1"/>
    <col min="25" max="25" width="5.7109375" customWidth="1" outlineLevel="1"/>
    <col min="26" max="26" width="6" customWidth="1" outlineLevel="1"/>
    <col min="27" max="27" width="5.7109375" customWidth="1" outlineLevel="1"/>
    <col min="28" max="28" width="9.28515625" customWidth="1" outlineLevel="1"/>
    <col min="29" max="29" width="6" customWidth="1" outlineLevel="1"/>
    <col min="30" max="30" width="5.42578125" customWidth="1" outlineLevel="1"/>
    <col min="31" max="31" width="5.85546875" customWidth="1" outlineLevel="1"/>
    <col min="32" max="32" width="5.7109375" customWidth="1" outlineLevel="1"/>
    <col min="33" max="33" width="6.28515625" customWidth="1" outlineLevel="1"/>
    <col min="34" max="34" width="5.7109375" customWidth="1" outlineLevel="1"/>
    <col min="35" max="36" width="6" customWidth="1" outlineLevel="1"/>
    <col min="37" max="37" width="5.85546875" customWidth="1" outlineLevel="1"/>
    <col min="38" max="39" width="5.42578125" customWidth="1" outlineLevel="1"/>
    <col min="40" max="40" width="9.85546875" customWidth="1" outlineLevel="1"/>
  </cols>
  <sheetData>
    <row r="1" spans="1:40" ht="12.75" customHeight="1" x14ac:dyDescent="0.25">
      <c r="A1" s="30" t="s">
        <v>111</v>
      </c>
      <c r="B1" s="41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pans="1:40" ht="12.75" customHeight="1" x14ac:dyDescent="0.2">
      <c r="A2" s="1004" t="s">
        <v>8</v>
      </c>
      <c r="B2" s="1004"/>
      <c r="C2" s="1004"/>
      <c r="D2" s="1004"/>
      <c r="E2" s="1004"/>
      <c r="F2" s="1004"/>
      <c r="G2" s="1004"/>
      <c r="H2" s="1004"/>
      <c r="I2" s="1004"/>
      <c r="J2" s="1004"/>
      <c r="K2" s="1004"/>
      <c r="L2" s="1004"/>
      <c r="M2" s="1004"/>
      <c r="N2" s="1004"/>
      <c r="O2" s="1004"/>
      <c r="P2" s="1004"/>
      <c r="Q2" s="1004"/>
      <c r="R2" s="1004"/>
      <c r="S2" s="1004"/>
      <c r="T2" s="1004"/>
      <c r="U2" s="1004"/>
      <c r="V2" s="1004"/>
      <c r="W2" s="1004"/>
      <c r="X2" s="1004"/>
      <c r="Y2" s="1004"/>
      <c r="Z2" s="1004"/>
      <c r="AA2" s="1004"/>
      <c r="AB2" s="1004"/>
      <c r="AC2" s="1004"/>
      <c r="AD2" s="1004"/>
      <c r="AE2" s="1004"/>
      <c r="AF2" s="1004"/>
      <c r="AG2" s="1004"/>
      <c r="AH2" s="1004"/>
      <c r="AI2" s="1004"/>
      <c r="AJ2" s="1004"/>
      <c r="AK2" s="1004"/>
      <c r="AL2" s="1004"/>
      <c r="AM2" s="1004"/>
      <c r="AN2" s="1004"/>
    </row>
    <row r="3" spans="1:40" s="34" customFormat="1" ht="12.75" customHeight="1" x14ac:dyDescent="0.25">
      <c r="A3" s="1005" t="s">
        <v>112</v>
      </c>
      <c r="B3" s="1005"/>
      <c r="C3" s="35" t="s">
        <v>13</v>
      </c>
      <c r="D3" s="36" t="s">
        <v>15</v>
      </c>
      <c r="E3" s="36" t="s">
        <v>17</v>
      </c>
      <c r="F3" s="36" t="s">
        <v>19</v>
      </c>
      <c r="G3" s="36" t="s">
        <v>21</v>
      </c>
      <c r="H3" s="36" t="s">
        <v>23</v>
      </c>
      <c r="I3" s="36" t="s">
        <v>25</v>
      </c>
      <c r="J3" s="36" t="s">
        <v>27</v>
      </c>
      <c r="K3" s="36" t="s">
        <v>29</v>
      </c>
      <c r="L3" s="36" t="s">
        <v>31</v>
      </c>
      <c r="M3" s="36" t="s">
        <v>33</v>
      </c>
      <c r="N3" s="36" t="s">
        <v>35</v>
      </c>
      <c r="O3" s="36" t="s">
        <v>37</v>
      </c>
      <c r="P3" s="36" t="s">
        <v>39</v>
      </c>
      <c r="Q3" s="36" t="s">
        <v>41</v>
      </c>
      <c r="R3" s="36" t="s">
        <v>43</v>
      </c>
      <c r="S3" s="36" t="s">
        <v>45</v>
      </c>
      <c r="T3" s="36" t="s">
        <v>47</v>
      </c>
      <c r="U3" s="36" t="s">
        <v>49</v>
      </c>
      <c r="V3" s="36" t="s">
        <v>51</v>
      </c>
      <c r="W3" s="36" t="s">
        <v>53</v>
      </c>
      <c r="X3" s="36" t="s">
        <v>55</v>
      </c>
      <c r="Y3" s="36" t="s">
        <v>57</v>
      </c>
      <c r="Z3" s="36" t="s">
        <v>59</v>
      </c>
      <c r="AA3" s="36" t="s">
        <v>61</v>
      </c>
      <c r="AB3" s="36" t="s">
        <v>63</v>
      </c>
      <c r="AC3" s="36" t="s">
        <v>65</v>
      </c>
      <c r="AD3" s="36" t="s">
        <v>67</v>
      </c>
      <c r="AE3" s="36" t="s">
        <v>69</v>
      </c>
      <c r="AF3" s="36" t="s">
        <v>71</v>
      </c>
      <c r="AG3" s="36" t="s">
        <v>73</v>
      </c>
      <c r="AH3" s="36" t="s">
        <v>75</v>
      </c>
      <c r="AI3" s="36" t="s">
        <v>77</v>
      </c>
      <c r="AJ3" s="36" t="s">
        <v>79</v>
      </c>
      <c r="AK3" s="36" t="s">
        <v>81</v>
      </c>
      <c r="AL3" s="36" t="s">
        <v>83</v>
      </c>
      <c r="AM3" s="36" t="s">
        <v>85</v>
      </c>
      <c r="AN3" s="36" t="s">
        <v>90</v>
      </c>
    </row>
    <row r="4" spans="1:40" ht="12.75" customHeight="1" x14ac:dyDescent="0.2">
      <c r="A4" s="1006" t="s">
        <v>11</v>
      </c>
      <c r="B4" s="1006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</row>
    <row r="5" spans="1:40" ht="12.75" customHeight="1" x14ac:dyDescent="0.25">
      <c r="A5" s="31" t="s">
        <v>12</v>
      </c>
      <c r="B5" s="42" t="s">
        <v>13</v>
      </c>
      <c r="C5" s="23">
        <v>18881.2</v>
      </c>
      <c r="D5" s="23"/>
      <c r="E5" s="23">
        <v>42587.7</v>
      </c>
      <c r="F5" s="23">
        <v>240.1</v>
      </c>
      <c r="G5" s="23">
        <v>2128.8000000000002</v>
      </c>
      <c r="H5" s="23"/>
      <c r="I5" s="23">
        <v>96.5</v>
      </c>
      <c r="J5" s="23"/>
      <c r="K5" s="23">
        <v>172</v>
      </c>
      <c r="L5" s="23"/>
      <c r="M5" s="23"/>
      <c r="N5" s="23"/>
      <c r="O5" s="23">
        <v>0.5</v>
      </c>
      <c r="P5" s="23"/>
      <c r="Q5" s="23"/>
      <c r="R5" s="23">
        <v>30.5</v>
      </c>
      <c r="S5" s="23">
        <v>19.5</v>
      </c>
      <c r="T5" s="23">
        <v>334.5</v>
      </c>
      <c r="U5" s="23">
        <v>0.6</v>
      </c>
      <c r="V5" s="23"/>
      <c r="W5" s="23">
        <v>2195.8000000000002</v>
      </c>
      <c r="X5" s="23">
        <v>10.9</v>
      </c>
      <c r="Y5" s="23">
        <v>1.1000000000000001</v>
      </c>
      <c r="Z5" s="23"/>
      <c r="AA5" s="23">
        <v>2.2999999999999998</v>
      </c>
      <c r="AB5" s="23"/>
      <c r="AC5" s="23"/>
      <c r="AD5" s="23">
        <v>1.7</v>
      </c>
      <c r="AE5" s="23"/>
      <c r="AF5" s="23">
        <v>37.1</v>
      </c>
      <c r="AG5" s="23">
        <v>156</v>
      </c>
      <c r="AH5" s="23">
        <v>32</v>
      </c>
      <c r="AI5" s="23">
        <v>2</v>
      </c>
      <c r="AJ5" s="23">
        <v>8</v>
      </c>
      <c r="AK5" s="23">
        <v>51.9</v>
      </c>
      <c r="AL5" s="23">
        <v>24.4</v>
      </c>
      <c r="AM5" s="23"/>
      <c r="AN5" s="24">
        <v>67015.100000000006</v>
      </c>
    </row>
    <row r="6" spans="1:40" ht="12.75" customHeight="1" x14ac:dyDescent="0.25">
      <c r="A6" s="31" t="s">
        <v>14</v>
      </c>
      <c r="B6" s="42" t="s">
        <v>15</v>
      </c>
      <c r="C6" s="23">
        <v>352.3</v>
      </c>
      <c r="D6" s="23">
        <v>135.19999999999999</v>
      </c>
      <c r="E6" s="23">
        <v>713.3</v>
      </c>
      <c r="F6" s="23">
        <v>30.7</v>
      </c>
      <c r="G6" s="23">
        <v>120.9</v>
      </c>
      <c r="H6" s="23">
        <v>16795.099999999999</v>
      </c>
      <c r="I6" s="23">
        <v>1782.6</v>
      </c>
      <c r="J6" s="23">
        <v>31.1</v>
      </c>
      <c r="K6" s="23">
        <v>1183.7</v>
      </c>
      <c r="L6" s="23">
        <v>3235.4</v>
      </c>
      <c r="M6" s="23">
        <v>20.100000000000001</v>
      </c>
      <c r="N6" s="23">
        <v>19.899999999999999</v>
      </c>
      <c r="O6" s="23">
        <v>24</v>
      </c>
      <c r="P6" s="23">
        <v>58.9</v>
      </c>
      <c r="Q6" s="23">
        <v>76.3</v>
      </c>
      <c r="R6" s="23">
        <v>14618.5</v>
      </c>
      <c r="S6" s="23">
        <v>39.1</v>
      </c>
      <c r="T6" s="23">
        <v>1793.9</v>
      </c>
      <c r="U6" s="23">
        <v>66</v>
      </c>
      <c r="V6" s="23">
        <v>19</v>
      </c>
      <c r="W6" s="23">
        <v>159.80000000000001</v>
      </c>
      <c r="X6" s="23">
        <v>3</v>
      </c>
      <c r="Y6" s="23">
        <v>13.7</v>
      </c>
      <c r="Z6" s="23">
        <v>7.2</v>
      </c>
      <c r="AA6" s="23">
        <v>13.9</v>
      </c>
      <c r="AB6" s="23">
        <v>1</v>
      </c>
      <c r="AC6" s="23">
        <v>20.6</v>
      </c>
      <c r="AD6" s="23">
        <v>38.6</v>
      </c>
      <c r="AE6" s="23">
        <v>5.2</v>
      </c>
      <c r="AF6" s="23">
        <v>76.099999999999994</v>
      </c>
      <c r="AG6" s="23">
        <v>180</v>
      </c>
      <c r="AH6" s="23">
        <v>23.6</v>
      </c>
      <c r="AI6" s="23">
        <v>44.3</v>
      </c>
      <c r="AJ6" s="23">
        <v>4.5999999999999996</v>
      </c>
      <c r="AK6" s="23">
        <v>9.6999999999999993</v>
      </c>
      <c r="AL6" s="23">
        <v>27.4</v>
      </c>
      <c r="AM6" s="23"/>
      <c r="AN6" s="24">
        <v>41744.699999999997</v>
      </c>
    </row>
    <row r="7" spans="1:40" ht="12.75" customHeight="1" x14ac:dyDescent="0.25">
      <c r="A7" s="31" t="s">
        <v>16</v>
      </c>
      <c r="B7" s="42" t="s">
        <v>17</v>
      </c>
      <c r="C7" s="23">
        <v>9046.2000000000007</v>
      </c>
      <c r="D7" s="23">
        <v>57.8</v>
      </c>
      <c r="E7" s="23">
        <v>35896.1</v>
      </c>
      <c r="F7" s="23">
        <v>334.9</v>
      </c>
      <c r="G7" s="23">
        <v>197.9</v>
      </c>
      <c r="H7" s="23">
        <v>77.900000000000006</v>
      </c>
      <c r="I7" s="23">
        <v>2507.1</v>
      </c>
      <c r="J7" s="23">
        <v>474</v>
      </c>
      <c r="K7" s="23">
        <v>161.1</v>
      </c>
      <c r="L7" s="23">
        <v>209.4</v>
      </c>
      <c r="M7" s="23">
        <v>53.8</v>
      </c>
      <c r="N7" s="23">
        <v>50.4</v>
      </c>
      <c r="O7" s="23">
        <v>79.099999999999994</v>
      </c>
      <c r="P7" s="23">
        <v>130.4</v>
      </c>
      <c r="Q7" s="23">
        <v>247.5</v>
      </c>
      <c r="R7" s="23">
        <v>73.3</v>
      </c>
      <c r="S7" s="23">
        <v>197.3</v>
      </c>
      <c r="T7" s="23">
        <v>648.4</v>
      </c>
      <c r="U7" s="23">
        <v>3306.8</v>
      </c>
      <c r="V7" s="23">
        <v>965.9</v>
      </c>
      <c r="W7" s="23">
        <v>29004.3</v>
      </c>
      <c r="X7" s="23">
        <v>594.5</v>
      </c>
      <c r="Y7" s="23">
        <v>365.8</v>
      </c>
      <c r="Z7" s="23">
        <v>425.9</v>
      </c>
      <c r="AA7" s="23">
        <v>127.2</v>
      </c>
      <c r="AB7" s="23">
        <v>176.3</v>
      </c>
      <c r="AC7" s="23">
        <v>1389.4</v>
      </c>
      <c r="AD7" s="23">
        <v>1018.7</v>
      </c>
      <c r="AE7" s="23">
        <v>497.3</v>
      </c>
      <c r="AF7" s="23">
        <v>1578.4</v>
      </c>
      <c r="AG7" s="23">
        <v>933</v>
      </c>
      <c r="AH7" s="23">
        <v>4140.2</v>
      </c>
      <c r="AI7" s="23">
        <v>4404.3999999999996</v>
      </c>
      <c r="AJ7" s="23">
        <v>870.4</v>
      </c>
      <c r="AK7" s="23">
        <v>1905</v>
      </c>
      <c r="AL7" s="23">
        <v>395.6</v>
      </c>
      <c r="AM7" s="23"/>
      <c r="AN7" s="24">
        <v>102541.7</v>
      </c>
    </row>
    <row r="8" spans="1:40" ht="12.75" customHeight="1" x14ac:dyDescent="0.25">
      <c r="A8" s="31" t="s">
        <v>18</v>
      </c>
      <c r="B8" s="42" t="s">
        <v>19</v>
      </c>
      <c r="C8" s="23">
        <v>246.5</v>
      </c>
      <c r="D8" s="23">
        <v>6.8</v>
      </c>
      <c r="E8" s="23">
        <v>609.79999999999995</v>
      </c>
      <c r="F8" s="23">
        <v>5773.4</v>
      </c>
      <c r="G8" s="23">
        <v>1267.9000000000001</v>
      </c>
      <c r="H8" s="23">
        <v>58.3</v>
      </c>
      <c r="I8" s="23">
        <v>322.10000000000002</v>
      </c>
      <c r="J8" s="23">
        <v>150</v>
      </c>
      <c r="K8" s="23">
        <v>311.2</v>
      </c>
      <c r="L8" s="23">
        <v>202.5</v>
      </c>
      <c r="M8" s="23">
        <v>188.2</v>
      </c>
      <c r="N8" s="23">
        <v>102.7</v>
      </c>
      <c r="O8" s="23">
        <v>244.5</v>
      </c>
      <c r="P8" s="23">
        <v>1194.5</v>
      </c>
      <c r="Q8" s="23">
        <v>1004.8</v>
      </c>
      <c r="R8" s="23">
        <v>56</v>
      </c>
      <c r="S8" s="23">
        <v>145.30000000000001</v>
      </c>
      <c r="T8" s="23">
        <v>1277.8</v>
      </c>
      <c r="U8" s="23">
        <v>3296.5</v>
      </c>
      <c r="V8" s="23">
        <v>466.3</v>
      </c>
      <c r="W8" s="23">
        <v>622.29999999999995</v>
      </c>
      <c r="X8" s="23">
        <v>1205.2</v>
      </c>
      <c r="Y8" s="23">
        <v>279.7</v>
      </c>
      <c r="Z8" s="23">
        <v>34.6</v>
      </c>
      <c r="AA8" s="23">
        <v>111.6</v>
      </c>
      <c r="AB8" s="23">
        <v>153.69999999999999</v>
      </c>
      <c r="AC8" s="23">
        <v>208</v>
      </c>
      <c r="AD8" s="23">
        <v>68</v>
      </c>
      <c r="AE8" s="23">
        <v>253.1</v>
      </c>
      <c r="AF8" s="23">
        <v>467.9</v>
      </c>
      <c r="AG8" s="23">
        <v>533</v>
      </c>
      <c r="AH8" s="23">
        <v>331.5</v>
      </c>
      <c r="AI8" s="23">
        <v>1396.7</v>
      </c>
      <c r="AJ8" s="23">
        <v>195.5</v>
      </c>
      <c r="AK8" s="23">
        <v>392</v>
      </c>
      <c r="AL8" s="23">
        <v>214.9</v>
      </c>
      <c r="AM8" s="23"/>
      <c r="AN8" s="24">
        <v>23392.799999999999</v>
      </c>
    </row>
    <row r="9" spans="1:40" ht="12.75" customHeight="1" x14ac:dyDescent="0.25">
      <c r="A9" s="31" t="s">
        <v>20</v>
      </c>
      <c r="B9" s="42" t="s">
        <v>21</v>
      </c>
      <c r="C9" s="23">
        <v>1112.3</v>
      </c>
      <c r="D9" s="23">
        <v>82.7</v>
      </c>
      <c r="E9" s="23">
        <v>2505.1999999999998</v>
      </c>
      <c r="F9" s="23">
        <v>210</v>
      </c>
      <c r="G9" s="23">
        <v>8240.1</v>
      </c>
      <c r="H9" s="23">
        <v>34.799999999999997</v>
      </c>
      <c r="I9" s="23">
        <v>803.2</v>
      </c>
      <c r="J9" s="23">
        <v>615.4</v>
      </c>
      <c r="K9" s="23">
        <v>1106.5</v>
      </c>
      <c r="L9" s="23">
        <v>398.2</v>
      </c>
      <c r="M9" s="23">
        <v>222</v>
      </c>
      <c r="N9" s="23">
        <v>168.2</v>
      </c>
      <c r="O9" s="23">
        <v>244.9</v>
      </c>
      <c r="P9" s="23">
        <v>958.6</v>
      </c>
      <c r="Q9" s="23">
        <v>1638</v>
      </c>
      <c r="R9" s="23">
        <v>48.7</v>
      </c>
      <c r="S9" s="23">
        <v>506</v>
      </c>
      <c r="T9" s="23">
        <v>7952</v>
      </c>
      <c r="U9" s="23">
        <v>2856.1</v>
      </c>
      <c r="V9" s="23">
        <v>605.6</v>
      </c>
      <c r="W9" s="23">
        <v>318.5</v>
      </c>
      <c r="X9" s="23">
        <v>5570.8</v>
      </c>
      <c r="Y9" s="23">
        <v>573.29999999999995</v>
      </c>
      <c r="Z9" s="23">
        <v>384.5</v>
      </c>
      <c r="AA9" s="23">
        <v>2523.1</v>
      </c>
      <c r="AB9" s="23">
        <v>655</v>
      </c>
      <c r="AC9" s="23">
        <v>2627.8</v>
      </c>
      <c r="AD9" s="23">
        <v>642.6</v>
      </c>
      <c r="AE9" s="23">
        <v>253</v>
      </c>
      <c r="AF9" s="23">
        <v>1638.6</v>
      </c>
      <c r="AG9" s="23">
        <v>1626</v>
      </c>
      <c r="AH9" s="23">
        <v>874.7</v>
      </c>
      <c r="AI9" s="23">
        <v>278.10000000000002</v>
      </c>
      <c r="AJ9" s="23">
        <v>371</v>
      </c>
      <c r="AK9" s="23">
        <v>864</v>
      </c>
      <c r="AL9" s="23">
        <v>551.6</v>
      </c>
      <c r="AM9" s="23"/>
      <c r="AN9" s="24">
        <v>50061.1</v>
      </c>
    </row>
    <row r="10" spans="1:40" ht="12.75" customHeight="1" x14ac:dyDescent="0.25">
      <c r="A10" s="31" t="s">
        <v>22</v>
      </c>
      <c r="B10" s="42" t="s">
        <v>23</v>
      </c>
      <c r="C10" s="23">
        <v>3554.5</v>
      </c>
      <c r="D10" s="23">
        <v>161.30000000000001</v>
      </c>
      <c r="E10" s="23">
        <v>973.8</v>
      </c>
      <c r="F10" s="23">
        <v>80</v>
      </c>
      <c r="G10" s="23">
        <v>254.3</v>
      </c>
      <c r="H10" s="23">
        <v>2020.7</v>
      </c>
      <c r="I10" s="23">
        <v>6339.2</v>
      </c>
      <c r="J10" s="23">
        <v>79.2</v>
      </c>
      <c r="K10" s="23">
        <v>538.9</v>
      </c>
      <c r="L10" s="23">
        <v>460.3</v>
      </c>
      <c r="M10" s="23">
        <v>75.5</v>
      </c>
      <c r="N10" s="23">
        <v>58.4</v>
      </c>
      <c r="O10" s="23">
        <v>150.69999999999999</v>
      </c>
      <c r="P10" s="23">
        <v>244.3</v>
      </c>
      <c r="Q10" s="23">
        <v>278</v>
      </c>
      <c r="R10" s="23">
        <v>951.4</v>
      </c>
      <c r="S10" s="23">
        <v>633</v>
      </c>
      <c r="T10" s="23">
        <v>2905.1</v>
      </c>
      <c r="U10" s="23">
        <v>5834.4</v>
      </c>
      <c r="V10" s="23">
        <v>16220.7</v>
      </c>
      <c r="W10" s="23">
        <v>240.9</v>
      </c>
      <c r="X10" s="23">
        <v>421.4</v>
      </c>
      <c r="Y10" s="23">
        <v>467.1</v>
      </c>
      <c r="Z10" s="23">
        <v>563.1</v>
      </c>
      <c r="AA10" s="23">
        <v>635.20000000000005</v>
      </c>
      <c r="AB10" s="23">
        <v>169.8</v>
      </c>
      <c r="AC10" s="23">
        <v>1320.3</v>
      </c>
      <c r="AD10" s="23">
        <v>290.89999999999998</v>
      </c>
      <c r="AE10" s="23">
        <v>479.9</v>
      </c>
      <c r="AF10" s="23">
        <v>1526.6</v>
      </c>
      <c r="AG10" s="23">
        <v>1869</v>
      </c>
      <c r="AH10" s="23">
        <v>428.4</v>
      </c>
      <c r="AI10" s="23">
        <v>408.4</v>
      </c>
      <c r="AJ10" s="23">
        <v>186.7</v>
      </c>
      <c r="AK10" s="23">
        <v>567.79999999999995</v>
      </c>
      <c r="AL10" s="23">
        <v>357.4</v>
      </c>
      <c r="AM10" s="23"/>
      <c r="AN10" s="24">
        <v>51746.6</v>
      </c>
    </row>
    <row r="11" spans="1:40" ht="12.75" customHeight="1" x14ac:dyDescent="0.25">
      <c r="A11" s="31" t="s">
        <v>24</v>
      </c>
      <c r="B11" s="42" t="s">
        <v>25</v>
      </c>
      <c r="C11" s="23">
        <v>7225.2</v>
      </c>
      <c r="D11" s="23">
        <v>174.4</v>
      </c>
      <c r="E11" s="23">
        <v>2038.6</v>
      </c>
      <c r="F11" s="23">
        <v>990.5</v>
      </c>
      <c r="G11" s="23">
        <v>2116.9</v>
      </c>
      <c r="H11" s="23">
        <v>958.3</v>
      </c>
      <c r="I11" s="23">
        <v>17959.400000000001</v>
      </c>
      <c r="J11" s="23">
        <v>3071.9</v>
      </c>
      <c r="K11" s="23">
        <v>10833.5</v>
      </c>
      <c r="L11" s="23">
        <v>2359.1</v>
      </c>
      <c r="M11" s="23">
        <v>283.8</v>
      </c>
      <c r="N11" s="23">
        <v>819.4</v>
      </c>
      <c r="O11" s="23">
        <v>737.4</v>
      </c>
      <c r="P11" s="23">
        <v>1878.2</v>
      </c>
      <c r="Q11" s="23">
        <v>1816.4</v>
      </c>
      <c r="R11" s="23">
        <v>5487.6</v>
      </c>
      <c r="S11" s="23">
        <v>299.7</v>
      </c>
      <c r="T11" s="23">
        <v>4736</v>
      </c>
      <c r="U11" s="23">
        <v>2224.4</v>
      </c>
      <c r="V11" s="23">
        <v>395.1</v>
      </c>
      <c r="W11" s="23">
        <v>382.9</v>
      </c>
      <c r="X11" s="23">
        <v>921.2</v>
      </c>
      <c r="Y11" s="23">
        <v>179.2</v>
      </c>
      <c r="Z11" s="23">
        <v>332.3</v>
      </c>
      <c r="AA11" s="23">
        <v>67.099999999999994</v>
      </c>
      <c r="AB11" s="23">
        <v>1245.5</v>
      </c>
      <c r="AC11" s="23">
        <v>506.4</v>
      </c>
      <c r="AD11" s="23">
        <v>678.1</v>
      </c>
      <c r="AE11" s="23">
        <v>353.8</v>
      </c>
      <c r="AF11" s="23">
        <v>845.6</v>
      </c>
      <c r="AG11" s="23">
        <v>504</v>
      </c>
      <c r="AH11" s="23">
        <v>303</v>
      </c>
      <c r="AI11" s="23">
        <v>1386.9</v>
      </c>
      <c r="AJ11" s="23">
        <v>71.7</v>
      </c>
      <c r="AK11" s="23">
        <v>352.6</v>
      </c>
      <c r="AL11" s="23">
        <v>296</v>
      </c>
      <c r="AM11" s="23"/>
      <c r="AN11" s="24">
        <v>74832.100000000006</v>
      </c>
    </row>
    <row r="12" spans="1:40" ht="12.75" customHeight="1" x14ac:dyDescent="0.25">
      <c r="A12" s="31" t="s">
        <v>26</v>
      </c>
      <c r="B12" s="42" t="s">
        <v>27</v>
      </c>
      <c r="C12" s="23">
        <v>1207.0999999999999</v>
      </c>
      <c r="D12" s="23"/>
      <c r="E12" s="23">
        <v>228.6</v>
      </c>
      <c r="F12" s="23">
        <v>5.4</v>
      </c>
      <c r="G12" s="23">
        <v>1.8</v>
      </c>
      <c r="H12" s="23">
        <v>4.8</v>
      </c>
      <c r="I12" s="23">
        <v>554</v>
      </c>
      <c r="J12" s="23">
        <v>7145.9</v>
      </c>
      <c r="K12" s="23">
        <v>13.6</v>
      </c>
      <c r="L12" s="23">
        <v>2.2999999999999998</v>
      </c>
      <c r="M12" s="23">
        <v>0.7</v>
      </c>
      <c r="N12" s="23">
        <v>1.8</v>
      </c>
      <c r="O12" s="23">
        <v>1.8</v>
      </c>
      <c r="P12" s="23">
        <v>3.3</v>
      </c>
      <c r="Q12" s="23">
        <v>63.7</v>
      </c>
      <c r="R12" s="23">
        <v>4.0999999999999996</v>
      </c>
      <c r="S12" s="23">
        <v>6.7</v>
      </c>
      <c r="T12" s="23">
        <v>8.1999999999999993</v>
      </c>
      <c r="U12" s="23">
        <v>37.200000000000003</v>
      </c>
      <c r="V12" s="23">
        <v>28.8</v>
      </c>
      <c r="W12" s="23">
        <v>4.5</v>
      </c>
      <c r="X12" s="23">
        <v>1</v>
      </c>
      <c r="Y12" s="23">
        <v>2</v>
      </c>
      <c r="Z12" s="23">
        <v>18.2</v>
      </c>
      <c r="AA12" s="23">
        <v>24.1</v>
      </c>
      <c r="AB12" s="23">
        <v>1</v>
      </c>
      <c r="AC12" s="23">
        <v>57</v>
      </c>
      <c r="AD12" s="23">
        <v>95.6</v>
      </c>
      <c r="AE12" s="23">
        <v>712.2</v>
      </c>
      <c r="AF12" s="23">
        <v>160.1</v>
      </c>
      <c r="AG12" s="23">
        <v>215</v>
      </c>
      <c r="AH12" s="23">
        <v>23.9</v>
      </c>
      <c r="AI12" s="23">
        <v>9885.2000000000007</v>
      </c>
      <c r="AJ12" s="23">
        <v>333.2</v>
      </c>
      <c r="AK12" s="23">
        <v>9.1</v>
      </c>
      <c r="AL12" s="23">
        <v>22.9</v>
      </c>
      <c r="AM12" s="23"/>
      <c r="AN12" s="24">
        <v>20884.8</v>
      </c>
    </row>
    <row r="13" spans="1:40" ht="12.75" customHeight="1" x14ac:dyDescent="0.25">
      <c r="A13" s="31" t="s">
        <v>28</v>
      </c>
      <c r="B13" s="42" t="s">
        <v>29</v>
      </c>
      <c r="C13" s="23">
        <v>954.2</v>
      </c>
      <c r="D13" s="23">
        <v>437.1</v>
      </c>
      <c r="E13" s="23">
        <v>4106</v>
      </c>
      <c r="F13" s="23">
        <v>375.1</v>
      </c>
      <c r="G13" s="23">
        <v>740.6</v>
      </c>
      <c r="H13" s="23">
        <v>885.4</v>
      </c>
      <c r="I13" s="23">
        <v>2175.5</v>
      </c>
      <c r="J13" s="23">
        <v>608.5</v>
      </c>
      <c r="K13" s="23">
        <v>7495.9</v>
      </c>
      <c r="L13" s="23">
        <v>1770.1</v>
      </c>
      <c r="M13" s="23">
        <v>1408.2</v>
      </c>
      <c r="N13" s="23">
        <v>1354.9</v>
      </c>
      <c r="O13" s="23">
        <v>1872.9</v>
      </c>
      <c r="P13" s="23">
        <v>5568.2</v>
      </c>
      <c r="Q13" s="23">
        <v>3460.9</v>
      </c>
      <c r="R13" s="23">
        <v>938.3</v>
      </c>
      <c r="S13" s="23">
        <v>716.6</v>
      </c>
      <c r="T13" s="23">
        <v>29150.799999999999</v>
      </c>
      <c r="U13" s="23">
        <v>6036.2</v>
      </c>
      <c r="V13" s="23">
        <v>1600</v>
      </c>
      <c r="W13" s="23">
        <v>298.7</v>
      </c>
      <c r="X13" s="23">
        <v>585.6</v>
      </c>
      <c r="Y13" s="23">
        <v>725.4</v>
      </c>
      <c r="Z13" s="23">
        <v>268.10000000000002</v>
      </c>
      <c r="AA13" s="23">
        <v>183.2</v>
      </c>
      <c r="AB13" s="23">
        <v>376.2</v>
      </c>
      <c r="AC13" s="23">
        <v>1088.5999999999999</v>
      </c>
      <c r="AD13" s="23">
        <v>617.70000000000005</v>
      </c>
      <c r="AE13" s="23">
        <v>362.3</v>
      </c>
      <c r="AF13" s="23">
        <v>1427.8</v>
      </c>
      <c r="AG13" s="23">
        <v>49</v>
      </c>
      <c r="AH13" s="23">
        <v>323.2</v>
      </c>
      <c r="AI13" s="23">
        <v>1543.2</v>
      </c>
      <c r="AJ13" s="23">
        <v>135.69999999999999</v>
      </c>
      <c r="AK13" s="23">
        <v>156.9</v>
      </c>
      <c r="AL13" s="23">
        <v>402.5</v>
      </c>
      <c r="AM13" s="23"/>
      <c r="AN13" s="24">
        <v>80199.5</v>
      </c>
    </row>
    <row r="14" spans="1:40" ht="12.75" customHeight="1" x14ac:dyDescent="0.25">
      <c r="A14" s="31" t="s">
        <v>30</v>
      </c>
      <c r="B14" s="42" t="s">
        <v>31</v>
      </c>
      <c r="C14" s="23">
        <v>850.3</v>
      </c>
      <c r="D14" s="23">
        <v>186.1</v>
      </c>
      <c r="E14" s="23">
        <v>1819</v>
      </c>
      <c r="F14" s="23">
        <v>219.1</v>
      </c>
      <c r="G14" s="23">
        <v>806.7</v>
      </c>
      <c r="H14" s="23">
        <v>795.3</v>
      </c>
      <c r="I14" s="23">
        <v>1693.2</v>
      </c>
      <c r="J14" s="23">
        <v>413.1</v>
      </c>
      <c r="K14" s="23">
        <v>1825.2</v>
      </c>
      <c r="L14" s="23">
        <v>31513.599999999999</v>
      </c>
      <c r="M14" s="23">
        <v>2236.9</v>
      </c>
      <c r="N14" s="23">
        <v>3852.2</v>
      </c>
      <c r="O14" s="23">
        <v>7197.6</v>
      </c>
      <c r="P14" s="23">
        <v>10105</v>
      </c>
      <c r="Q14" s="23">
        <v>9651.2999999999993</v>
      </c>
      <c r="R14" s="23">
        <v>796.8</v>
      </c>
      <c r="S14" s="23">
        <v>2823.7</v>
      </c>
      <c r="T14" s="23">
        <v>25815.4</v>
      </c>
      <c r="U14" s="23">
        <v>1249.5</v>
      </c>
      <c r="V14" s="23">
        <v>949.4</v>
      </c>
      <c r="W14" s="23">
        <v>255.5</v>
      </c>
      <c r="X14" s="23">
        <v>284.5</v>
      </c>
      <c r="Y14" s="23">
        <v>437.4</v>
      </c>
      <c r="Z14" s="23">
        <v>280.8</v>
      </c>
      <c r="AA14" s="23">
        <v>8.1</v>
      </c>
      <c r="AB14" s="23">
        <v>474.1</v>
      </c>
      <c r="AC14" s="23">
        <v>515.29999999999995</v>
      </c>
      <c r="AD14" s="23">
        <v>322.3</v>
      </c>
      <c r="AE14" s="23">
        <v>166.9</v>
      </c>
      <c r="AF14" s="23">
        <v>1932.1</v>
      </c>
      <c r="AG14" s="23">
        <v>997</v>
      </c>
      <c r="AH14" s="23">
        <v>53.1</v>
      </c>
      <c r="AI14" s="23">
        <v>475.3</v>
      </c>
      <c r="AJ14" s="23">
        <v>176.4</v>
      </c>
      <c r="AK14" s="23">
        <v>117.5</v>
      </c>
      <c r="AL14" s="23">
        <v>633.20000000000005</v>
      </c>
      <c r="AM14" s="23"/>
      <c r="AN14" s="24">
        <v>111928.9</v>
      </c>
    </row>
    <row r="15" spans="1:40" ht="12.75" customHeight="1" x14ac:dyDescent="0.25">
      <c r="A15" s="31" t="s">
        <v>32</v>
      </c>
      <c r="B15" s="42" t="s">
        <v>33</v>
      </c>
      <c r="C15" s="23"/>
      <c r="D15" s="23">
        <v>15.5</v>
      </c>
      <c r="E15" s="23">
        <v>101</v>
      </c>
      <c r="F15" s="23">
        <v>21.4</v>
      </c>
      <c r="G15" s="23">
        <v>139</v>
      </c>
      <c r="H15" s="23">
        <v>129.5</v>
      </c>
      <c r="I15" s="23">
        <v>160</v>
      </c>
      <c r="J15" s="23">
        <v>16</v>
      </c>
      <c r="K15" s="23">
        <v>291.39999999999998</v>
      </c>
      <c r="L15" s="23">
        <v>785.6</v>
      </c>
      <c r="M15" s="23">
        <v>4367.1000000000004</v>
      </c>
      <c r="N15" s="23">
        <v>2193.1999999999998</v>
      </c>
      <c r="O15" s="23">
        <v>1601.1</v>
      </c>
      <c r="P15" s="23">
        <v>5898.3</v>
      </c>
      <c r="Q15" s="23">
        <v>2101.6999999999998</v>
      </c>
      <c r="R15" s="23">
        <v>520.79999999999995</v>
      </c>
      <c r="S15" s="23">
        <v>125.1</v>
      </c>
      <c r="T15" s="23">
        <v>2953.8</v>
      </c>
      <c r="U15" s="23">
        <v>1812.4</v>
      </c>
      <c r="V15" s="23">
        <v>819.2</v>
      </c>
      <c r="W15" s="23">
        <v>112.8</v>
      </c>
      <c r="X15" s="23">
        <v>243.5</v>
      </c>
      <c r="Y15" s="23">
        <v>2417.4</v>
      </c>
      <c r="Z15" s="23">
        <v>2159.9</v>
      </c>
      <c r="AA15" s="23">
        <v>400.3</v>
      </c>
      <c r="AB15" s="23">
        <v>48.3</v>
      </c>
      <c r="AC15" s="23">
        <v>1198</v>
      </c>
      <c r="AD15" s="23">
        <v>1688.2</v>
      </c>
      <c r="AE15" s="23">
        <v>381.3</v>
      </c>
      <c r="AF15" s="23">
        <v>1344.3</v>
      </c>
      <c r="AG15" s="23">
        <v>952</v>
      </c>
      <c r="AH15" s="23">
        <v>220.7</v>
      </c>
      <c r="AI15" s="23">
        <v>2532</v>
      </c>
      <c r="AJ15" s="23">
        <v>225.2</v>
      </c>
      <c r="AK15" s="23">
        <v>412</v>
      </c>
      <c r="AL15" s="23">
        <v>1189.4000000000001</v>
      </c>
      <c r="AM15" s="23"/>
      <c r="AN15" s="24">
        <v>39577.4</v>
      </c>
    </row>
    <row r="16" spans="1:40" ht="12.75" customHeight="1" x14ac:dyDescent="0.25">
      <c r="A16" s="31" t="s">
        <v>34</v>
      </c>
      <c r="B16" s="42" t="s">
        <v>35</v>
      </c>
      <c r="C16" s="23">
        <v>66.3</v>
      </c>
      <c r="D16" s="23">
        <v>27.9</v>
      </c>
      <c r="E16" s="23">
        <v>278.60000000000002</v>
      </c>
      <c r="F16" s="23">
        <v>35.4</v>
      </c>
      <c r="G16" s="23">
        <v>276.60000000000002</v>
      </c>
      <c r="H16" s="23">
        <v>218.4</v>
      </c>
      <c r="I16" s="23">
        <v>334.1</v>
      </c>
      <c r="J16" s="23">
        <v>29.3</v>
      </c>
      <c r="K16" s="23">
        <v>254.3</v>
      </c>
      <c r="L16" s="23">
        <v>1473.6</v>
      </c>
      <c r="M16" s="23">
        <v>1358.3</v>
      </c>
      <c r="N16" s="23">
        <v>2413.1999999999998</v>
      </c>
      <c r="O16" s="23">
        <v>1542.3</v>
      </c>
      <c r="P16" s="23">
        <v>2423.8000000000002</v>
      </c>
      <c r="Q16" s="23">
        <v>1335.7</v>
      </c>
      <c r="R16" s="23">
        <v>646.9</v>
      </c>
      <c r="S16" s="23">
        <v>197.5</v>
      </c>
      <c r="T16" s="23">
        <v>6829.4</v>
      </c>
      <c r="U16" s="23">
        <v>2360.8000000000002</v>
      </c>
      <c r="V16" s="23">
        <v>1045.2</v>
      </c>
      <c r="W16" s="23">
        <v>193.6</v>
      </c>
      <c r="X16" s="23">
        <v>149.19999999999999</v>
      </c>
      <c r="Y16" s="23">
        <v>1560.7</v>
      </c>
      <c r="Z16" s="23">
        <v>1143.5999999999999</v>
      </c>
      <c r="AA16" s="23">
        <v>101.4</v>
      </c>
      <c r="AB16" s="23">
        <v>669.4</v>
      </c>
      <c r="AC16" s="23">
        <v>1553.8</v>
      </c>
      <c r="AD16" s="23">
        <v>550</v>
      </c>
      <c r="AE16" s="23">
        <v>123.5</v>
      </c>
      <c r="AF16" s="23">
        <v>833.9</v>
      </c>
      <c r="AG16" s="23">
        <v>97</v>
      </c>
      <c r="AH16" s="23">
        <v>25.7</v>
      </c>
      <c r="AI16" s="23">
        <v>80.599999999999994</v>
      </c>
      <c r="AJ16" s="23">
        <v>8.3000000000000007</v>
      </c>
      <c r="AK16" s="23">
        <v>104.9</v>
      </c>
      <c r="AL16" s="23">
        <v>408.3</v>
      </c>
      <c r="AM16" s="23"/>
      <c r="AN16" s="24">
        <v>30751.5</v>
      </c>
    </row>
    <row r="17" spans="1:40" ht="12.75" customHeight="1" x14ac:dyDescent="0.25">
      <c r="A17" s="31" t="s">
        <v>36</v>
      </c>
      <c r="B17" s="42" t="s">
        <v>37</v>
      </c>
      <c r="C17" s="23">
        <v>513.70000000000005</v>
      </c>
      <c r="D17" s="23">
        <v>601.20000000000005</v>
      </c>
      <c r="E17" s="23">
        <v>1580</v>
      </c>
      <c r="F17" s="23">
        <v>225</v>
      </c>
      <c r="G17" s="23">
        <v>514.29999999999995</v>
      </c>
      <c r="H17" s="23">
        <v>382.1</v>
      </c>
      <c r="I17" s="23">
        <v>621.70000000000005</v>
      </c>
      <c r="J17" s="23">
        <v>81.2</v>
      </c>
      <c r="K17" s="23">
        <v>1080.5999999999999</v>
      </c>
      <c r="L17" s="23">
        <v>2202.5</v>
      </c>
      <c r="M17" s="23">
        <v>935</v>
      </c>
      <c r="N17" s="23">
        <v>657.2</v>
      </c>
      <c r="O17" s="23">
        <v>5222.1000000000004</v>
      </c>
      <c r="P17" s="23">
        <v>8778.6</v>
      </c>
      <c r="Q17" s="23">
        <v>7969.9</v>
      </c>
      <c r="R17" s="23">
        <v>1586.7</v>
      </c>
      <c r="S17" s="23">
        <v>1143.4000000000001</v>
      </c>
      <c r="T17" s="23">
        <v>10258.4</v>
      </c>
      <c r="U17" s="23">
        <v>3180.1</v>
      </c>
      <c r="V17" s="23">
        <v>1647.4</v>
      </c>
      <c r="W17" s="23">
        <v>237.8</v>
      </c>
      <c r="X17" s="23">
        <v>369.8</v>
      </c>
      <c r="Y17" s="23">
        <v>425.8</v>
      </c>
      <c r="Z17" s="23">
        <v>235.4</v>
      </c>
      <c r="AA17" s="23">
        <v>53.9</v>
      </c>
      <c r="AB17" s="23">
        <v>56.7</v>
      </c>
      <c r="AC17" s="23">
        <v>959.2</v>
      </c>
      <c r="AD17" s="23">
        <v>267.3</v>
      </c>
      <c r="AE17" s="23">
        <v>248.6</v>
      </c>
      <c r="AF17" s="23">
        <v>1231.2</v>
      </c>
      <c r="AG17" s="23">
        <v>512</v>
      </c>
      <c r="AH17" s="23">
        <v>124.2</v>
      </c>
      <c r="AI17" s="23">
        <v>290.39999999999998</v>
      </c>
      <c r="AJ17" s="23">
        <v>268</v>
      </c>
      <c r="AK17" s="23">
        <v>240.9</v>
      </c>
      <c r="AL17" s="23">
        <v>677.8</v>
      </c>
      <c r="AM17" s="23"/>
      <c r="AN17" s="24">
        <v>55380.1</v>
      </c>
    </row>
    <row r="18" spans="1:40" ht="12.75" customHeight="1" x14ac:dyDescent="0.25">
      <c r="A18" s="31" t="s">
        <v>38</v>
      </c>
      <c r="B18" s="42" t="s">
        <v>39</v>
      </c>
      <c r="C18" s="23">
        <v>301.7</v>
      </c>
      <c r="D18" s="23">
        <v>14.1</v>
      </c>
      <c r="E18" s="23">
        <v>535.79999999999995</v>
      </c>
      <c r="F18" s="23">
        <v>20.5</v>
      </c>
      <c r="G18" s="23">
        <v>46.8</v>
      </c>
      <c r="H18" s="23">
        <v>45.4</v>
      </c>
      <c r="I18" s="23">
        <v>92.1</v>
      </c>
      <c r="J18" s="23">
        <v>1.6</v>
      </c>
      <c r="K18" s="23">
        <v>114.1</v>
      </c>
      <c r="L18" s="23">
        <v>173.6</v>
      </c>
      <c r="M18" s="23">
        <v>46.9</v>
      </c>
      <c r="N18" s="23">
        <v>34.700000000000003</v>
      </c>
      <c r="O18" s="23">
        <v>1133.0999999999999</v>
      </c>
      <c r="P18" s="23">
        <v>35134.300000000003</v>
      </c>
      <c r="Q18" s="23">
        <v>980.6</v>
      </c>
      <c r="R18" s="23">
        <v>83.2</v>
      </c>
      <c r="S18" s="23">
        <v>511.9</v>
      </c>
      <c r="T18" s="23">
        <v>359.8</v>
      </c>
      <c r="U18" s="23">
        <v>9980.1</v>
      </c>
      <c r="V18" s="23">
        <v>4126.3</v>
      </c>
      <c r="W18" s="23">
        <v>57</v>
      </c>
      <c r="X18" s="23">
        <v>151.80000000000001</v>
      </c>
      <c r="Y18" s="23">
        <v>199.6</v>
      </c>
      <c r="Z18" s="23">
        <v>139.1</v>
      </c>
      <c r="AA18" s="23">
        <v>60.6</v>
      </c>
      <c r="AB18" s="23">
        <v>27.5</v>
      </c>
      <c r="AC18" s="23">
        <v>273</v>
      </c>
      <c r="AD18" s="23">
        <v>276.8</v>
      </c>
      <c r="AE18" s="23">
        <v>83.7</v>
      </c>
      <c r="AF18" s="23">
        <v>764.1</v>
      </c>
      <c r="AG18" s="23">
        <v>4007</v>
      </c>
      <c r="AH18" s="23">
        <v>61.9</v>
      </c>
      <c r="AI18" s="23">
        <v>217.6</v>
      </c>
      <c r="AJ18" s="23">
        <v>162.9</v>
      </c>
      <c r="AK18" s="23">
        <v>174.7</v>
      </c>
      <c r="AL18" s="23">
        <v>268.8</v>
      </c>
      <c r="AM18" s="23"/>
      <c r="AN18" s="24">
        <v>60662.7</v>
      </c>
    </row>
    <row r="19" spans="1:40" ht="12.75" customHeight="1" x14ac:dyDescent="0.25">
      <c r="A19" s="31" t="s">
        <v>40</v>
      </c>
      <c r="B19" s="42" t="s">
        <v>41</v>
      </c>
      <c r="C19" s="23">
        <v>3592.8</v>
      </c>
      <c r="D19" s="23">
        <v>139.4</v>
      </c>
      <c r="E19" s="23">
        <v>586.6</v>
      </c>
      <c r="F19" s="23">
        <v>35</v>
      </c>
      <c r="G19" s="23">
        <v>424.5</v>
      </c>
      <c r="H19" s="23">
        <v>92.9</v>
      </c>
      <c r="I19" s="23">
        <v>364.2</v>
      </c>
      <c r="J19" s="23">
        <v>127.3</v>
      </c>
      <c r="K19" s="23">
        <v>196.6</v>
      </c>
      <c r="L19" s="23">
        <v>752.8</v>
      </c>
      <c r="M19" s="23">
        <v>632.29999999999995</v>
      </c>
      <c r="N19" s="23">
        <v>201.9</v>
      </c>
      <c r="O19" s="23">
        <v>893.9</v>
      </c>
      <c r="P19" s="23">
        <v>6024.2</v>
      </c>
      <c r="Q19" s="23">
        <v>11529.2</v>
      </c>
      <c r="R19" s="23">
        <v>113.6</v>
      </c>
      <c r="S19" s="23">
        <v>166.2</v>
      </c>
      <c r="T19" s="23">
        <v>3872.5</v>
      </c>
      <c r="U19" s="23">
        <v>4588.8</v>
      </c>
      <c r="V19" s="23">
        <v>1241.8</v>
      </c>
      <c r="W19" s="23">
        <v>369.6</v>
      </c>
      <c r="X19" s="23">
        <v>359.4</v>
      </c>
      <c r="Y19" s="23">
        <v>447.2</v>
      </c>
      <c r="Z19" s="23">
        <v>154.1</v>
      </c>
      <c r="AA19" s="23">
        <v>291.60000000000002</v>
      </c>
      <c r="AB19" s="23">
        <v>34.5</v>
      </c>
      <c r="AC19" s="23">
        <v>471.8</v>
      </c>
      <c r="AD19" s="23">
        <v>588.5</v>
      </c>
      <c r="AE19" s="23">
        <v>356.1</v>
      </c>
      <c r="AF19" s="23">
        <v>634.20000000000005</v>
      </c>
      <c r="AG19" s="23">
        <v>2422</v>
      </c>
      <c r="AH19" s="23">
        <v>103.4</v>
      </c>
      <c r="AI19" s="23">
        <v>8668.7999999999993</v>
      </c>
      <c r="AJ19" s="23">
        <v>746.2</v>
      </c>
      <c r="AK19" s="23">
        <v>1516.1</v>
      </c>
      <c r="AL19" s="23">
        <v>341.8</v>
      </c>
      <c r="AM19" s="23"/>
      <c r="AN19" s="24">
        <v>53081.8</v>
      </c>
    </row>
    <row r="20" spans="1:40" ht="12.75" customHeight="1" x14ac:dyDescent="0.25">
      <c r="A20" s="31" t="s">
        <v>42</v>
      </c>
      <c r="B20" s="42" t="s">
        <v>43</v>
      </c>
      <c r="C20" s="23">
        <v>1454.2</v>
      </c>
      <c r="D20" s="23">
        <v>140.1</v>
      </c>
      <c r="E20" s="23">
        <v>3365.3</v>
      </c>
      <c r="F20" s="23">
        <v>199.4</v>
      </c>
      <c r="G20" s="23">
        <v>1648.7</v>
      </c>
      <c r="H20" s="23">
        <v>826.2</v>
      </c>
      <c r="I20" s="23">
        <v>3382.7</v>
      </c>
      <c r="J20" s="23">
        <v>343.4</v>
      </c>
      <c r="K20" s="23">
        <v>1817.3</v>
      </c>
      <c r="L20" s="23">
        <v>3218.8</v>
      </c>
      <c r="M20" s="23">
        <v>315.3</v>
      </c>
      <c r="N20" s="23">
        <v>209.7</v>
      </c>
      <c r="O20" s="23">
        <v>325.39999999999998</v>
      </c>
      <c r="P20" s="23">
        <v>870.2</v>
      </c>
      <c r="Q20" s="23">
        <v>249.8</v>
      </c>
      <c r="R20" s="23">
        <v>75303.3</v>
      </c>
      <c r="S20" s="23">
        <v>636.9</v>
      </c>
      <c r="T20" s="23">
        <v>468.9</v>
      </c>
      <c r="U20" s="23">
        <v>4454.6000000000004</v>
      </c>
      <c r="V20" s="23">
        <v>2435.8000000000002</v>
      </c>
      <c r="W20" s="23">
        <v>1578.1</v>
      </c>
      <c r="X20" s="23">
        <v>1771.6</v>
      </c>
      <c r="Y20" s="23">
        <v>1320.4</v>
      </c>
      <c r="Z20" s="23">
        <v>358.5</v>
      </c>
      <c r="AA20" s="23">
        <v>637.5</v>
      </c>
      <c r="AB20" s="23">
        <v>709.2</v>
      </c>
      <c r="AC20" s="23">
        <v>1473.8</v>
      </c>
      <c r="AD20" s="23">
        <v>361.9</v>
      </c>
      <c r="AE20" s="23">
        <v>311.10000000000002</v>
      </c>
      <c r="AF20" s="23">
        <v>498.1</v>
      </c>
      <c r="AG20" s="23">
        <v>2275</v>
      </c>
      <c r="AH20" s="23">
        <v>1385.7</v>
      </c>
      <c r="AI20" s="23">
        <v>1370.5</v>
      </c>
      <c r="AJ20" s="23">
        <v>685.4</v>
      </c>
      <c r="AK20" s="23">
        <v>1236.7</v>
      </c>
      <c r="AL20" s="23">
        <v>335.7</v>
      </c>
      <c r="AM20" s="23"/>
      <c r="AN20" s="24">
        <v>117975.2</v>
      </c>
    </row>
    <row r="21" spans="1:40" ht="12.75" customHeight="1" x14ac:dyDescent="0.25">
      <c r="A21" s="31" t="s">
        <v>44</v>
      </c>
      <c r="B21" s="42" t="s">
        <v>45</v>
      </c>
      <c r="C21" s="23">
        <v>553</v>
      </c>
      <c r="D21" s="23">
        <v>30.9</v>
      </c>
      <c r="E21" s="23">
        <v>1319.3</v>
      </c>
      <c r="F21" s="23">
        <v>199.3</v>
      </c>
      <c r="G21" s="23">
        <v>864.6</v>
      </c>
      <c r="H21" s="23">
        <v>525.5</v>
      </c>
      <c r="I21" s="23">
        <v>710</v>
      </c>
      <c r="J21" s="23">
        <v>239.6</v>
      </c>
      <c r="K21" s="23">
        <v>649.5</v>
      </c>
      <c r="L21" s="23">
        <v>3621.3</v>
      </c>
      <c r="M21" s="23">
        <v>141.5</v>
      </c>
      <c r="N21" s="23">
        <v>111.5</v>
      </c>
      <c r="O21" s="23">
        <v>231</v>
      </c>
      <c r="P21" s="23">
        <v>457.4</v>
      </c>
      <c r="Q21" s="23">
        <v>343.9</v>
      </c>
      <c r="R21" s="23">
        <v>874</v>
      </c>
      <c r="S21" s="23">
        <v>10207.700000000001</v>
      </c>
      <c r="T21" s="23">
        <v>2207.1</v>
      </c>
      <c r="U21" s="23">
        <v>2575.6</v>
      </c>
      <c r="V21" s="23">
        <v>866.1</v>
      </c>
      <c r="W21" s="23">
        <v>540.4</v>
      </c>
      <c r="X21" s="23">
        <v>601.29999999999995</v>
      </c>
      <c r="Y21" s="23">
        <v>390.8</v>
      </c>
      <c r="Z21" s="23">
        <v>729.5</v>
      </c>
      <c r="AA21" s="23">
        <v>430.8</v>
      </c>
      <c r="AB21" s="23">
        <v>1182.5</v>
      </c>
      <c r="AC21" s="23">
        <v>1476.6</v>
      </c>
      <c r="AD21" s="23">
        <v>570.9</v>
      </c>
      <c r="AE21" s="23">
        <v>731</v>
      </c>
      <c r="AF21" s="23">
        <v>1383.6</v>
      </c>
      <c r="AG21" s="23">
        <v>5038</v>
      </c>
      <c r="AH21" s="23">
        <v>851.1</v>
      </c>
      <c r="AI21" s="23">
        <v>1117.9000000000001</v>
      </c>
      <c r="AJ21" s="23">
        <v>336.6</v>
      </c>
      <c r="AK21" s="23">
        <v>380</v>
      </c>
      <c r="AL21" s="23">
        <v>185.2</v>
      </c>
      <c r="AM21" s="23"/>
      <c r="AN21" s="24">
        <v>42675</v>
      </c>
    </row>
    <row r="22" spans="1:40" s="40" customFormat="1" ht="12.75" customHeight="1" x14ac:dyDescent="0.25">
      <c r="A22" s="37" t="s">
        <v>46</v>
      </c>
      <c r="B22" s="43" t="s">
        <v>47</v>
      </c>
      <c r="C22" s="38">
        <v>447.9</v>
      </c>
      <c r="D22" s="38">
        <v>49.2</v>
      </c>
      <c r="E22" s="38">
        <v>142.5</v>
      </c>
      <c r="F22" s="38">
        <v>28.2</v>
      </c>
      <c r="G22" s="38">
        <v>73.400000000000006</v>
      </c>
      <c r="H22" s="38">
        <v>230.4</v>
      </c>
      <c r="I22" s="38">
        <v>87</v>
      </c>
      <c r="J22" s="38">
        <v>24.1</v>
      </c>
      <c r="K22" s="38">
        <v>112.5</v>
      </c>
      <c r="L22" s="38">
        <v>271.2</v>
      </c>
      <c r="M22" s="38">
        <v>71.400000000000006</v>
      </c>
      <c r="N22" s="38">
        <v>61.7</v>
      </c>
      <c r="O22" s="38">
        <v>440.7</v>
      </c>
      <c r="P22" s="38">
        <v>316</v>
      </c>
      <c r="Q22" s="38">
        <v>233.2</v>
      </c>
      <c r="R22" s="38">
        <v>1444.4</v>
      </c>
      <c r="S22" s="38">
        <v>430.5</v>
      </c>
      <c r="T22" s="38">
        <v>61846.6</v>
      </c>
      <c r="U22" s="38">
        <v>549.5</v>
      </c>
      <c r="V22" s="38">
        <v>684</v>
      </c>
      <c r="W22" s="38">
        <v>83.9</v>
      </c>
      <c r="X22" s="38">
        <v>497.1</v>
      </c>
      <c r="Y22" s="38">
        <v>573.20000000000005</v>
      </c>
      <c r="Z22" s="38">
        <v>198.4</v>
      </c>
      <c r="AA22" s="38">
        <v>1995.6</v>
      </c>
      <c r="AB22" s="38">
        <v>5137.3999999999996</v>
      </c>
      <c r="AC22" s="38">
        <v>429.3</v>
      </c>
      <c r="AD22" s="38">
        <v>1515.5</v>
      </c>
      <c r="AE22" s="38">
        <v>153.80000000000001</v>
      </c>
      <c r="AF22" s="38">
        <v>1032.4000000000001</v>
      </c>
      <c r="AG22" s="38">
        <v>5630</v>
      </c>
      <c r="AH22" s="38">
        <v>1487.7</v>
      </c>
      <c r="AI22" s="38">
        <v>507</v>
      </c>
      <c r="AJ22" s="38">
        <v>808.5</v>
      </c>
      <c r="AK22" s="38">
        <v>1220.4000000000001</v>
      </c>
      <c r="AL22" s="38">
        <v>132.9</v>
      </c>
      <c r="AM22" s="38"/>
      <c r="AN22" s="39">
        <v>88947.5</v>
      </c>
    </row>
    <row r="23" spans="1:40" ht="12.75" customHeight="1" x14ac:dyDescent="0.25">
      <c r="A23" s="31" t="s">
        <v>48</v>
      </c>
      <c r="B23" s="42" t="s">
        <v>49</v>
      </c>
      <c r="C23" s="23">
        <v>374.5</v>
      </c>
      <c r="D23" s="23">
        <v>114.9</v>
      </c>
      <c r="E23" s="23">
        <v>1427.4</v>
      </c>
      <c r="F23" s="23">
        <v>101.2</v>
      </c>
      <c r="G23" s="23">
        <v>326.3</v>
      </c>
      <c r="H23" s="23">
        <v>339.5</v>
      </c>
      <c r="I23" s="23">
        <v>451.7</v>
      </c>
      <c r="J23" s="23">
        <v>494.8</v>
      </c>
      <c r="K23" s="23">
        <v>813.3</v>
      </c>
      <c r="L23" s="23">
        <v>780.1</v>
      </c>
      <c r="M23" s="23">
        <v>243.5</v>
      </c>
      <c r="N23" s="23">
        <v>152.9</v>
      </c>
      <c r="O23" s="23">
        <v>399.6</v>
      </c>
      <c r="P23" s="23">
        <v>1069.9000000000001</v>
      </c>
      <c r="Q23" s="23">
        <v>654.70000000000005</v>
      </c>
      <c r="R23" s="23">
        <v>273.60000000000002</v>
      </c>
      <c r="S23" s="23">
        <v>263.60000000000002</v>
      </c>
      <c r="T23" s="23">
        <v>1045.5999999999999</v>
      </c>
      <c r="U23" s="23">
        <v>19331.2</v>
      </c>
      <c r="V23" s="23">
        <v>3465.5</v>
      </c>
      <c r="W23" s="23">
        <v>384.9</v>
      </c>
      <c r="X23" s="23">
        <v>738.2</v>
      </c>
      <c r="Y23" s="23">
        <v>278.8</v>
      </c>
      <c r="Z23" s="23">
        <v>870</v>
      </c>
      <c r="AA23" s="23">
        <v>305.89999999999998</v>
      </c>
      <c r="AB23" s="23">
        <v>450.8</v>
      </c>
      <c r="AC23" s="23">
        <v>1646.3</v>
      </c>
      <c r="AD23" s="23">
        <v>234.1</v>
      </c>
      <c r="AE23" s="23">
        <v>461.2</v>
      </c>
      <c r="AF23" s="23">
        <v>1188.0999999999999</v>
      </c>
      <c r="AG23" s="23">
        <v>368</v>
      </c>
      <c r="AH23" s="23">
        <v>169.6</v>
      </c>
      <c r="AI23" s="23">
        <v>429.6</v>
      </c>
      <c r="AJ23" s="23">
        <v>245</v>
      </c>
      <c r="AK23" s="23">
        <v>398.5</v>
      </c>
      <c r="AL23" s="23">
        <v>224.8</v>
      </c>
      <c r="AM23" s="23"/>
      <c r="AN23" s="24">
        <v>40517.599999999999</v>
      </c>
    </row>
    <row r="24" spans="1:40" ht="12.75" customHeight="1" x14ac:dyDescent="0.25">
      <c r="A24" s="31" t="s">
        <v>50</v>
      </c>
      <c r="B24" s="42" t="s">
        <v>51</v>
      </c>
      <c r="C24" s="23">
        <v>90.5</v>
      </c>
      <c r="D24" s="23">
        <v>163</v>
      </c>
      <c r="E24" s="23">
        <v>3232.4</v>
      </c>
      <c r="F24" s="23">
        <v>244.3</v>
      </c>
      <c r="G24" s="23">
        <v>1009.8</v>
      </c>
      <c r="H24" s="23">
        <v>856.7</v>
      </c>
      <c r="I24" s="23">
        <v>1182.2</v>
      </c>
      <c r="J24" s="23">
        <v>422.8</v>
      </c>
      <c r="K24" s="23">
        <v>1241</v>
      </c>
      <c r="L24" s="23">
        <v>1539.8</v>
      </c>
      <c r="M24" s="23">
        <v>370.5</v>
      </c>
      <c r="N24" s="23">
        <v>257.60000000000002</v>
      </c>
      <c r="O24" s="23">
        <v>567</v>
      </c>
      <c r="P24" s="23">
        <v>1265.4000000000001</v>
      </c>
      <c r="Q24" s="23">
        <v>797.7</v>
      </c>
      <c r="R24" s="23">
        <v>627.70000000000005</v>
      </c>
      <c r="S24" s="23">
        <v>666.2</v>
      </c>
      <c r="T24" s="23">
        <v>3471.2</v>
      </c>
      <c r="U24" s="23">
        <v>38616.699999999997</v>
      </c>
      <c r="V24" s="23">
        <v>52299.4</v>
      </c>
      <c r="W24" s="23">
        <v>1756.8</v>
      </c>
      <c r="X24" s="23">
        <v>1890.1</v>
      </c>
      <c r="Y24" s="23">
        <v>1322.2</v>
      </c>
      <c r="Z24" s="23">
        <v>1830.2</v>
      </c>
      <c r="AA24" s="23">
        <v>3005.8</v>
      </c>
      <c r="AB24" s="23">
        <v>1112.9000000000001</v>
      </c>
      <c r="AC24" s="23">
        <v>4574.3</v>
      </c>
      <c r="AD24" s="23">
        <v>1245.5999999999999</v>
      </c>
      <c r="AE24" s="23">
        <v>948.5</v>
      </c>
      <c r="AF24" s="23">
        <v>3734.2</v>
      </c>
      <c r="AG24" s="23">
        <v>6172</v>
      </c>
      <c r="AH24" s="23">
        <v>1899.5</v>
      </c>
      <c r="AI24" s="23">
        <v>1373.8</v>
      </c>
      <c r="AJ24" s="23">
        <v>547</v>
      </c>
      <c r="AK24" s="23">
        <v>1003.3</v>
      </c>
      <c r="AL24" s="23">
        <v>826.5</v>
      </c>
      <c r="AM24" s="23"/>
      <c r="AN24" s="24">
        <v>142164.6</v>
      </c>
    </row>
    <row r="25" spans="1:40" ht="12.75" customHeight="1" x14ac:dyDescent="0.25">
      <c r="A25" s="31" t="s">
        <v>52</v>
      </c>
      <c r="B25" s="42" t="s">
        <v>53</v>
      </c>
      <c r="C25" s="23">
        <v>41.4</v>
      </c>
      <c r="D25" s="23">
        <v>44.6</v>
      </c>
      <c r="E25" s="23">
        <v>351.8</v>
      </c>
      <c r="F25" s="23">
        <v>27.6</v>
      </c>
      <c r="G25" s="23">
        <v>82.1</v>
      </c>
      <c r="H25" s="23">
        <v>73.5</v>
      </c>
      <c r="I25" s="23">
        <v>174.6</v>
      </c>
      <c r="J25" s="23">
        <v>104.1</v>
      </c>
      <c r="K25" s="23">
        <v>166.7</v>
      </c>
      <c r="L25" s="23">
        <v>243.4</v>
      </c>
      <c r="M25" s="23">
        <v>62.3</v>
      </c>
      <c r="N25" s="23">
        <v>44.6</v>
      </c>
      <c r="O25" s="23">
        <v>109.4</v>
      </c>
      <c r="P25" s="23">
        <v>233.1</v>
      </c>
      <c r="Q25" s="23">
        <v>167.8</v>
      </c>
      <c r="R25" s="23">
        <v>153.69999999999999</v>
      </c>
      <c r="S25" s="23">
        <v>140.9</v>
      </c>
      <c r="T25" s="23">
        <v>331.6</v>
      </c>
      <c r="U25" s="23">
        <v>6179.5</v>
      </c>
      <c r="V25" s="23">
        <v>1750.9</v>
      </c>
      <c r="W25" s="23">
        <v>1397.3</v>
      </c>
      <c r="X25" s="23">
        <v>497</v>
      </c>
      <c r="Y25" s="23">
        <v>332.7</v>
      </c>
      <c r="Z25" s="23">
        <v>1037</v>
      </c>
      <c r="AA25" s="23">
        <v>1228.0999999999999</v>
      </c>
      <c r="AB25" s="23">
        <v>495.8</v>
      </c>
      <c r="AC25" s="23">
        <v>2310.9</v>
      </c>
      <c r="AD25" s="23">
        <v>491.6</v>
      </c>
      <c r="AE25" s="23">
        <v>374.8</v>
      </c>
      <c r="AF25" s="23">
        <v>2178</v>
      </c>
      <c r="AG25" s="23">
        <v>554</v>
      </c>
      <c r="AH25" s="23">
        <v>777.8</v>
      </c>
      <c r="AI25" s="23">
        <v>534.79999999999995</v>
      </c>
      <c r="AJ25" s="23">
        <v>2433.3000000000002</v>
      </c>
      <c r="AK25" s="23">
        <v>548.79999999999995</v>
      </c>
      <c r="AL25" s="23">
        <v>254.8</v>
      </c>
      <c r="AM25" s="23"/>
      <c r="AN25" s="24">
        <v>25930.3</v>
      </c>
    </row>
    <row r="26" spans="1:40" ht="12.75" customHeight="1" x14ac:dyDescent="0.25">
      <c r="A26" s="31" t="s">
        <v>54</v>
      </c>
      <c r="B26" s="42" t="s">
        <v>55</v>
      </c>
      <c r="C26" s="23">
        <v>193.4</v>
      </c>
      <c r="D26" s="23">
        <v>0</v>
      </c>
      <c r="E26" s="23">
        <v>210</v>
      </c>
      <c r="F26" s="23">
        <v>15.6</v>
      </c>
      <c r="G26" s="23">
        <v>36.6</v>
      </c>
      <c r="H26" s="23">
        <v>24.5</v>
      </c>
      <c r="I26" s="23">
        <v>87.7</v>
      </c>
      <c r="J26" s="23">
        <v>42.7</v>
      </c>
      <c r="K26" s="23">
        <v>42.1</v>
      </c>
      <c r="L26" s="23">
        <v>64.2</v>
      </c>
      <c r="M26" s="23">
        <v>59.5</v>
      </c>
      <c r="N26" s="23">
        <v>22.8</v>
      </c>
      <c r="O26" s="23">
        <v>40.6</v>
      </c>
      <c r="P26" s="23">
        <v>124.4</v>
      </c>
      <c r="Q26" s="23">
        <v>54.7</v>
      </c>
      <c r="R26" s="23">
        <v>201.3</v>
      </c>
      <c r="S26" s="23">
        <v>87.1</v>
      </c>
      <c r="T26" s="23">
        <v>299.8</v>
      </c>
      <c r="U26" s="23">
        <v>1968.2</v>
      </c>
      <c r="V26" s="23">
        <v>518.70000000000005</v>
      </c>
      <c r="W26" s="23">
        <v>138.1</v>
      </c>
      <c r="X26" s="23">
        <v>4105.2</v>
      </c>
      <c r="Y26" s="23">
        <v>833.4</v>
      </c>
      <c r="Z26" s="23">
        <v>2691.3</v>
      </c>
      <c r="AA26" s="23">
        <v>5153.2</v>
      </c>
      <c r="AB26" s="23">
        <v>351.1</v>
      </c>
      <c r="AC26" s="23">
        <v>3296.4</v>
      </c>
      <c r="AD26" s="23">
        <v>1047.5</v>
      </c>
      <c r="AE26" s="23">
        <v>1020.5</v>
      </c>
      <c r="AF26" s="23">
        <v>1906.8</v>
      </c>
      <c r="AG26" s="23">
        <v>1782</v>
      </c>
      <c r="AH26" s="23">
        <v>854.5</v>
      </c>
      <c r="AI26" s="23">
        <v>498.7</v>
      </c>
      <c r="AJ26" s="23">
        <v>254.3</v>
      </c>
      <c r="AK26" s="23">
        <v>1027.8</v>
      </c>
      <c r="AL26" s="23">
        <v>545.9</v>
      </c>
      <c r="AM26" s="23"/>
      <c r="AN26" s="24">
        <v>29600.6</v>
      </c>
    </row>
    <row r="27" spans="1:40" ht="12.75" customHeight="1" x14ac:dyDescent="0.25">
      <c r="A27" s="31" t="s">
        <v>56</v>
      </c>
      <c r="B27" s="42" t="s">
        <v>57</v>
      </c>
      <c r="C27" s="23">
        <v>42</v>
      </c>
      <c r="D27" s="23">
        <v>7.9</v>
      </c>
      <c r="E27" s="23">
        <v>243</v>
      </c>
      <c r="F27" s="23">
        <v>36.6</v>
      </c>
      <c r="G27" s="23">
        <v>70.400000000000006</v>
      </c>
      <c r="H27" s="23">
        <v>63.4</v>
      </c>
      <c r="I27" s="23">
        <v>126.9</v>
      </c>
      <c r="J27" s="23">
        <v>84.2</v>
      </c>
      <c r="K27" s="23">
        <v>71.3</v>
      </c>
      <c r="L27" s="23">
        <v>103.9</v>
      </c>
      <c r="M27" s="23">
        <v>50.5</v>
      </c>
      <c r="N27" s="23">
        <v>54.9</v>
      </c>
      <c r="O27" s="23">
        <v>110.2</v>
      </c>
      <c r="P27" s="23">
        <v>155.69999999999999</v>
      </c>
      <c r="Q27" s="23">
        <v>116.7</v>
      </c>
      <c r="R27" s="23">
        <v>268.8</v>
      </c>
      <c r="S27" s="23">
        <v>79.400000000000006</v>
      </c>
      <c r="T27" s="23">
        <v>591.6</v>
      </c>
      <c r="U27" s="23">
        <v>5708.6</v>
      </c>
      <c r="V27" s="23">
        <v>1039.7</v>
      </c>
      <c r="W27" s="23">
        <v>507.8</v>
      </c>
      <c r="X27" s="23">
        <v>465.2</v>
      </c>
      <c r="Y27" s="23">
        <v>10411.299999999999</v>
      </c>
      <c r="Z27" s="23">
        <v>2098.5</v>
      </c>
      <c r="AA27" s="23">
        <v>7373.3</v>
      </c>
      <c r="AB27" s="23">
        <v>469.7</v>
      </c>
      <c r="AC27" s="23">
        <v>3051.1</v>
      </c>
      <c r="AD27" s="23">
        <v>1043.5</v>
      </c>
      <c r="AE27" s="23">
        <v>449.5</v>
      </c>
      <c r="AF27" s="23">
        <v>2610.5</v>
      </c>
      <c r="AG27" s="23">
        <v>1532</v>
      </c>
      <c r="AH27" s="23">
        <v>553.6</v>
      </c>
      <c r="AI27" s="23">
        <v>850.4</v>
      </c>
      <c r="AJ27" s="23">
        <v>101.1</v>
      </c>
      <c r="AK27" s="23">
        <v>482.8</v>
      </c>
      <c r="AL27" s="23">
        <v>333</v>
      </c>
      <c r="AM27" s="23"/>
      <c r="AN27" s="24">
        <v>41359</v>
      </c>
    </row>
    <row r="28" spans="1:40" ht="12.75" customHeight="1" x14ac:dyDescent="0.25">
      <c r="A28" s="31" t="s">
        <v>58</v>
      </c>
      <c r="B28" s="42" t="s">
        <v>59</v>
      </c>
      <c r="C28" s="23">
        <v>1.3</v>
      </c>
      <c r="D28" s="23">
        <v>1.4</v>
      </c>
      <c r="E28" s="23">
        <v>719.5</v>
      </c>
      <c r="F28" s="23">
        <v>70.7</v>
      </c>
      <c r="G28" s="23">
        <v>190.7</v>
      </c>
      <c r="H28" s="23">
        <v>219.4</v>
      </c>
      <c r="I28" s="23">
        <v>311.10000000000002</v>
      </c>
      <c r="J28" s="23">
        <v>133.6</v>
      </c>
      <c r="K28" s="23">
        <v>199.8</v>
      </c>
      <c r="L28" s="23">
        <v>270.89999999999998</v>
      </c>
      <c r="M28" s="23">
        <v>414.7</v>
      </c>
      <c r="N28" s="23">
        <v>93.3</v>
      </c>
      <c r="O28" s="23">
        <v>182.2</v>
      </c>
      <c r="P28" s="23">
        <v>349.5</v>
      </c>
      <c r="Q28" s="23">
        <v>242.1</v>
      </c>
      <c r="R28" s="23">
        <v>671.3</v>
      </c>
      <c r="S28" s="23">
        <v>203.2</v>
      </c>
      <c r="T28" s="23">
        <v>1028.7</v>
      </c>
      <c r="U28" s="23">
        <v>4072.7</v>
      </c>
      <c r="V28" s="23">
        <v>1164.0999999999999</v>
      </c>
      <c r="W28" s="23">
        <v>291.60000000000002</v>
      </c>
      <c r="X28" s="23">
        <v>913.3</v>
      </c>
      <c r="Y28" s="23">
        <v>1294.5999999999999</v>
      </c>
      <c r="Z28" s="23">
        <v>17291</v>
      </c>
      <c r="AA28" s="23">
        <v>7791.8</v>
      </c>
      <c r="AB28" s="23">
        <v>701.7</v>
      </c>
      <c r="AC28" s="23">
        <v>2906.8</v>
      </c>
      <c r="AD28" s="23">
        <v>1045.7</v>
      </c>
      <c r="AE28" s="23">
        <v>448.6</v>
      </c>
      <c r="AF28" s="23">
        <v>2410.5</v>
      </c>
      <c r="AG28" s="23">
        <v>1545</v>
      </c>
      <c r="AH28" s="23">
        <v>308.60000000000002</v>
      </c>
      <c r="AI28" s="23">
        <v>528</v>
      </c>
      <c r="AJ28" s="23">
        <v>245.7</v>
      </c>
      <c r="AK28" s="23">
        <v>246.8</v>
      </c>
      <c r="AL28" s="23">
        <v>414.8</v>
      </c>
      <c r="AM28" s="23"/>
      <c r="AN28" s="24">
        <v>48924.7</v>
      </c>
    </row>
    <row r="29" spans="1:40" ht="12.75" customHeight="1" x14ac:dyDescent="0.25">
      <c r="A29" s="31" t="s">
        <v>122</v>
      </c>
      <c r="B29" s="42" t="s">
        <v>61</v>
      </c>
      <c r="C29" s="23">
        <v>2227.8000000000002</v>
      </c>
      <c r="D29" s="23">
        <v>132.4</v>
      </c>
      <c r="E29" s="23">
        <v>3061.2</v>
      </c>
      <c r="F29" s="23">
        <v>331.9</v>
      </c>
      <c r="G29" s="23">
        <v>704.4</v>
      </c>
      <c r="H29" s="23">
        <v>529.5</v>
      </c>
      <c r="I29" s="23">
        <v>1292.7</v>
      </c>
      <c r="J29" s="23">
        <v>354.8</v>
      </c>
      <c r="K29" s="23">
        <v>689.3</v>
      </c>
      <c r="L29" s="23">
        <v>941.5</v>
      </c>
      <c r="M29" s="23">
        <v>433</v>
      </c>
      <c r="N29" s="23">
        <v>298.60000000000002</v>
      </c>
      <c r="O29" s="23">
        <v>764.8</v>
      </c>
      <c r="P29" s="23">
        <v>1046.5</v>
      </c>
      <c r="Q29" s="23">
        <v>713.9</v>
      </c>
      <c r="R29" s="23">
        <v>1011.2</v>
      </c>
      <c r="S29" s="23">
        <v>1167.5999999999999</v>
      </c>
      <c r="T29" s="23">
        <v>6262.6</v>
      </c>
      <c r="U29" s="23">
        <v>15129</v>
      </c>
      <c r="V29" s="23">
        <v>9866</v>
      </c>
      <c r="W29" s="23">
        <v>2013.2</v>
      </c>
      <c r="X29" s="23">
        <v>1049.2</v>
      </c>
      <c r="Y29" s="23">
        <v>3736.9</v>
      </c>
      <c r="Z29" s="23">
        <v>1450.6</v>
      </c>
      <c r="AA29" s="23">
        <v>85601.3</v>
      </c>
      <c r="AB29" s="23">
        <v>18665.8</v>
      </c>
      <c r="AC29" s="23">
        <v>12347.1</v>
      </c>
      <c r="AD29" s="23">
        <v>1301.5999999999999</v>
      </c>
      <c r="AE29" s="23">
        <v>1277.0999999999999</v>
      </c>
      <c r="AF29" s="23">
        <v>5571.3</v>
      </c>
      <c r="AG29" s="23">
        <v>3972.1</v>
      </c>
      <c r="AH29" s="23">
        <v>892.4</v>
      </c>
      <c r="AI29" s="23">
        <v>1905.9</v>
      </c>
      <c r="AJ29" s="23">
        <v>365.8</v>
      </c>
      <c r="AK29" s="23">
        <v>763.1</v>
      </c>
      <c r="AL29" s="23">
        <v>1624.1</v>
      </c>
      <c r="AM29" s="23"/>
      <c r="AN29" s="24">
        <v>189496.2</v>
      </c>
    </row>
    <row r="30" spans="1:40" ht="12.75" customHeight="1" x14ac:dyDescent="0.25">
      <c r="A30" s="31" t="s">
        <v>62</v>
      </c>
      <c r="B30" s="42" t="s">
        <v>63</v>
      </c>
      <c r="C30" s="23">
        <v>20.100000000000001</v>
      </c>
      <c r="D30" s="23">
        <v>67.400000000000006</v>
      </c>
      <c r="E30" s="23">
        <v>668.7</v>
      </c>
      <c r="F30" s="23">
        <v>49.2</v>
      </c>
      <c r="G30" s="23">
        <v>282.3</v>
      </c>
      <c r="H30" s="23">
        <v>103.9</v>
      </c>
      <c r="I30" s="23">
        <v>309.89999999999998</v>
      </c>
      <c r="J30" s="23">
        <v>256.60000000000002</v>
      </c>
      <c r="K30" s="23">
        <v>317.89999999999998</v>
      </c>
      <c r="L30" s="23">
        <v>426.3</v>
      </c>
      <c r="M30" s="23">
        <v>93.8</v>
      </c>
      <c r="N30" s="23">
        <v>33.700000000000003</v>
      </c>
      <c r="O30" s="23">
        <v>185.9</v>
      </c>
      <c r="P30" s="23">
        <v>332.2</v>
      </c>
      <c r="Q30" s="23">
        <v>188.7</v>
      </c>
      <c r="R30" s="23">
        <v>202.9</v>
      </c>
      <c r="S30" s="23">
        <v>146.4</v>
      </c>
      <c r="T30" s="23">
        <v>717.8</v>
      </c>
      <c r="U30" s="23">
        <v>18294.5</v>
      </c>
      <c r="V30" s="23">
        <v>3219.8</v>
      </c>
      <c r="W30" s="23">
        <v>1935.6</v>
      </c>
      <c r="X30" s="23">
        <v>753.9</v>
      </c>
      <c r="Y30" s="23">
        <v>1056.7</v>
      </c>
      <c r="Z30" s="23">
        <v>2831.8</v>
      </c>
      <c r="AA30" s="23">
        <v>8557.6</v>
      </c>
      <c r="AB30" s="23">
        <v>12613.2</v>
      </c>
      <c r="AC30" s="23">
        <v>7480.5</v>
      </c>
      <c r="AD30" s="23">
        <v>2089.5</v>
      </c>
      <c r="AE30" s="23">
        <v>923.7</v>
      </c>
      <c r="AF30" s="23">
        <v>6724.3</v>
      </c>
      <c r="AG30" s="23">
        <v>2396</v>
      </c>
      <c r="AH30" s="23">
        <v>699.7</v>
      </c>
      <c r="AI30" s="23">
        <v>1904.8</v>
      </c>
      <c r="AJ30" s="23">
        <v>1119.7</v>
      </c>
      <c r="AK30" s="23">
        <v>614.79999999999995</v>
      </c>
      <c r="AL30" s="23">
        <v>730.3</v>
      </c>
      <c r="AM30" s="23"/>
      <c r="AN30" s="24">
        <v>78350.100000000006</v>
      </c>
    </row>
    <row r="31" spans="1:40" ht="12.75" customHeight="1" x14ac:dyDescent="0.25">
      <c r="A31" s="31" t="s">
        <v>64</v>
      </c>
      <c r="B31" s="42" t="s">
        <v>65</v>
      </c>
      <c r="C31" s="23">
        <v>1661.9</v>
      </c>
      <c r="D31" s="23">
        <v>192.5</v>
      </c>
      <c r="E31" s="23">
        <v>6217.2</v>
      </c>
      <c r="F31" s="23">
        <v>360</v>
      </c>
      <c r="G31" s="23">
        <v>1674.8</v>
      </c>
      <c r="H31" s="23">
        <v>940.9</v>
      </c>
      <c r="I31" s="23">
        <v>1539.6</v>
      </c>
      <c r="J31" s="23">
        <v>1183.9000000000001</v>
      </c>
      <c r="K31" s="23">
        <v>2547</v>
      </c>
      <c r="L31" s="23">
        <v>3061.2</v>
      </c>
      <c r="M31" s="23">
        <v>918.9</v>
      </c>
      <c r="N31" s="23">
        <v>527.29999999999995</v>
      </c>
      <c r="O31" s="23">
        <v>1593.4</v>
      </c>
      <c r="P31" s="23">
        <v>2985</v>
      </c>
      <c r="Q31" s="23">
        <v>1992.2</v>
      </c>
      <c r="R31" s="23">
        <v>2601.1999999999998</v>
      </c>
      <c r="S31" s="23">
        <v>1449.9</v>
      </c>
      <c r="T31" s="23">
        <v>17739.099999999999</v>
      </c>
      <c r="U31" s="23">
        <v>28706.1</v>
      </c>
      <c r="V31" s="23">
        <v>10295.299999999999</v>
      </c>
      <c r="W31" s="23">
        <v>4202.8999999999996</v>
      </c>
      <c r="X31" s="23">
        <v>3368.7</v>
      </c>
      <c r="Y31" s="23">
        <v>2887.1</v>
      </c>
      <c r="Z31" s="23">
        <v>7384.9</v>
      </c>
      <c r="AA31" s="23">
        <v>11610.2</v>
      </c>
      <c r="AB31" s="23">
        <v>7417.8</v>
      </c>
      <c r="AC31" s="23">
        <v>81782.7</v>
      </c>
      <c r="AD31" s="23">
        <v>6190.6</v>
      </c>
      <c r="AE31" s="23">
        <v>2393.8000000000002</v>
      </c>
      <c r="AF31" s="23">
        <v>15311</v>
      </c>
      <c r="AG31" s="23">
        <v>5761</v>
      </c>
      <c r="AH31" s="23">
        <v>2074.1999999999998</v>
      </c>
      <c r="AI31" s="23">
        <v>4316.7</v>
      </c>
      <c r="AJ31" s="23">
        <v>1761.3</v>
      </c>
      <c r="AK31" s="23">
        <v>1516.8</v>
      </c>
      <c r="AL31" s="23">
        <v>1975.2</v>
      </c>
      <c r="AM31" s="23"/>
      <c r="AN31" s="24">
        <v>248142.3</v>
      </c>
    </row>
    <row r="32" spans="1:40" ht="12.75" customHeight="1" x14ac:dyDescent="0.25">
      <c r="A32" s="31" t="s">
        <v>66</v>
      </c>
      <c r="B32" s="42" t="s">
        <v>67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>
        <v>3185.1</v>
      </c>
      <c r="AE32" s="23"/>
      <c r="AF32" s="23"/>
      <c r="AG32" s="23"/>
      <c r="AH32" s="23"/>
      <c r="AI32" s="23"/>
      <c r="AJ32" s="23"/>
      <c r="AK32" s="23"/>
      <c r="AL32" s="23"/>
      <c r="AM32" s="23"/>
      <c r="AN32" s="24">
        <v>3185.1</v>
      </c>
    </row>
    <row r="33" spans="1:40" ht="12.75" customHeight="1" x14ac:dyDescent="0.25">
      <c r="A33" s="31" t="s">
        <v>68</v>
      </c>
      <c r="B33" s="42" t="s">
        <v>69</v>
      </c>
      <c r="C33" s="23">
        <v>447.7</v>
      </c>
      <c r="D33" s="23">
        <v>21.5</v>
      </c>
      <c r="E33" s="23">
        <v>3458.2</v>
      </c>
      <c r="F33" s="23">
        <v>193.4</v>
      </c>
      <c r="G33" s="23">
        <v>304.39999999999998</v>
      </c>
      <c r="H33" s="23">
        <v>128.4</v>
      </c>
      <c r="I33" s="23">
        <v>1211.5</v>
      </c>
      <c r="J33" s="23">
        <v>1076.2</v>
      </c>
      <c r="K33" s="23">
        <v>178.4</v>
      </c>
      <c r="L33" s="23">
        <v>278.3</v>
      </c>
      <c r="M33" s="23">
        <v>127.9</v>
      </c>
      <c r="N33" s="23">
        <v>98.6</v>
      </c>
      <c r="O33" s="23">
        <v>103</v>
      </c>
      <c r="P33" s="23">
        <v>1107.2</v>
      </c>
      <c r="Q33" s="23">
        <v>512.29999999999995</v>
      </c>
      <c r="R33" s="23">
        <v>305.89999999999998</v>
      </c>
      <c r="S33" s="23">
        <v>165.3</v>
      </c>
      <c r="T33" s="23">
        <v>791.2</v>
      </c>
      <c r="U33" s="23">
        <v>6729.5</v>
      </c>
      <c r="V33" s="23">
        <v>1235.0999999999999</v>
      </c>
      <c r="W33" s="23">
        <v>384.7</v>
      </c>
      <c r="X33" s="23">
        <v>634.70000000000005</v>
      </c>
      <c r="Y33" s="23">
        <v>1026.5999999999999</v>
      </c>
      <c r="Z33" s="23">
        <v>961.9</v>
      </c>
      <c r="AA33" s="23">
        <v>4081.6</v>
      </c>
      <c r="AB33" s="23">
        <v>280.10000000000002</v>
      </c>
      <c r="AC33" s="23">
        <v>1627.4</v>
      </c>
      <c r="AD33" s="23">
        <v>767.1</v>
      </c>
      <c r="AE33" s="23">
        <v>2661</v>
      </c>
      <c r="AF33" s="23">
        <v>2211.6</v>
      </c>
      <c r="AG33" s="23">
        <v>2028</v>
      </c>
      <c r="AH33" s="23">
        <v>700.1</v>
      </c>
      <c r="AI33" s="23">
        <v>1221</v>
      </c>
      <c r="AJ33" s="23">
        <v>629.9</v>
      </c>
      <c r="AK33" s="23">
        <v>730</v>
      </c>
      <c r="AL33" s="23">
        <v>341.2</v>
      </c>
      <c r="AM33" s="23"/>
      <c r="AN33" s="24">
        <v>38760.9</v>
      </c>
    </row>
    <row r="34" spans="1:40" ht="12.75" customHeight="1" x14ac:dyDescent="0.25">
      <c r="A34" s="31" t="s">
        <v>70</v>
      </c>
      <c r="B34" s="42" t="s">
        <v>71</v>
      </c>
      <c r="C34" s="23">
        <v>712.6</v>
      </c>
      <c r="D34" s="23">
        <v>217.5</v>
      </c>
      <c r="E34" s="23">
        <v>6634.2</v>
      </c>
      <c r="F34" s="23">
        <v>584.9</v>
      </c>
      <c r="G34" s="23">
        <v>1607.4</v>
      </c>
      <c r="H34" s="23">
        <v>656.3</v>
      </c>
      <c r="I34" s="23">
        <v>1606.8</v>
      </c>
      <c r="J34" s="23">
        <v>880.7</v>
      </c>
      <c r="K34" s="23">
        <v>2991.1</v>
      </c>
      <c r="L34" s="23">
        <v>3882.8</v>
      </c>
      <c r="M34" s="23">
        <v>625.5</v>
      </c>
      <c r="N34" s="23">
        <v>812.9</v>
      </c>
      <c r="O34" s="23">
        <v>1506.1</v>
      </c>
      <c r="P34" s="23">
        <v>2694.5</v>
      </c>
      <c r="Q34" s="23">
        <v>1901.2</v>
      </c>
      <c r="R34" s="23">
        <v>2770.8</v>
      </c>
      <c r="S34" s="23">
        <v>4293.2</v>
      </c>
      <c r="T34" s="23">
        <v>15990.5</v>
      </c>
      <c r="U34" s="23">
        <v>26352.6</v>
      </c>
      <c r="V34" s="23">
        <v>15599.4</v>
      </c>
      <c r="W34" s="23">
        <v>2336.3000000000002</v>
      </c>
      <c r="X34" s="23">
        <v>2047.5</v>
      </c>
      <c r="Y34" s="23">
        <v>3253</v>
      </c>
      <c r="Z34" s="23">
        <v>4485</v>
      </c>
      <c r="AA34" s="23">
        <v>17659.5</v>
      </c>
      <c r="AB34" s="23">
        <v>7094.9</v>
      </c>
      <c r="AC34" s="23">
        <v>17098.3</v>
      </c>
      <c r="AD34" s="23">
        <v>7182.1</v>
      </c>
      <c r="AE34" s="23">
        <v>3947.1</v>
      </c>
      <c r="AF34" s="23">
        <v>25618.1</v>
      </c>
      <c r="AG34" s="23">
        <v>11043</v>
      </c>
      <c r="AH34" s="23">
        <v>4623.8999999999996</v>
      </c>
      <c r="AI34" s="23">
        <v>5556.3</v>
      </c>
      <c r="AJ34" s="23">
        <v>2934.6</v>
      </c>
      <c r="AK34" s="23">
        <v>2651.4</v>
      </c>
      <c r="AL34" s="23">
        <v>3684.6</v>
      </c>
      <c r="AM34" s="23"/>
      <c r="AN34" s="24">
        <v>213536.6</v>
      </c>
    </row>
    <row r="35" spans="1:40" ht="12.75" customHeight="1" x14ac:dyDescent="0.25">
      <c r="A35" s="31" t="s">
        <v>72</v>
      </c>
      <c r="B35" s="42" t="s">
        <v>73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4"/>
    </row>
    <row r="36" spans="1:40" ht="12.75" customHeight="1" x14ac:dyDescent="0.25">
      <c r="A36" s="31" t="s">
        <v>74</v>
      </c>
      <c r="B36" s="42" t="s">
        <v>75</v>
      </c>
      <c r="C36" s="23">
        <v>159.1</v>
      </c>
      <c r="D36" s="23">
        <v>30.6</v>
      </c>
      <c r="E36" s="23">
        <v>565.29999999999995</v>
      </c>
      <c r="F36" s="23">
        <v>61.9</v>
      </c>
      <c r="G36" s="23">
        <v>133.9</v>
      </c>
      <c r="H36" s="23">
        <v>142.5</v>
      </c>
      <c r="I36" s="23">
        <v>383.3</v>
      </c>
      <c r="J36" s="23">
        <v>204.8</v>
      </c>
      <c r="K36" s="23">
        <v>346.3</v>
      </c>
      <c r="L36" s="23">
        <v>357.6</v>
      </c>
      <c r="M36" s="23">
        <v>205</v>
      </c>
      <c r="N36" s="23">
        <v>145</v>
      </c>
      <c r="O36" s="23">
        <v>259.2</v>
      </c>
      <c r="P36" s="23">
        <v>798.4</v>
      </c>
      <c r="Q36" s="23">
        <v>474.3</v>
      </c>
      <c r="R36" s="23">
        <v>771.3</v>
      </c>
      <c r="S36" s="23">
        <v>140.5</v>
      </c>
      <c r="T36" s="23">
        <v>915.7</v>
      </c>
      <c r="U36" s="23">
        <v>2911.8</v>
      </c>
      <c r="V36" s="23">
        <v>2950.7</v>
      </c>
      <c r="W36" s="23">
        <v>291.60000000000002</v>
      </c>
      <c r="X36" s="23">
        <v>194.5</v>
      </c>
      <c r="Y36" s="23">
        <v>772.4</v>
      </c>
      <c r="Z36" s="23">
        <v>1290.2</v>
      </c>
      <c r="AA36" s="23">
        <v>1091</v>
      </c>
      <c r="AB36" s="23">
        <v>155</v>
      </c>
      <c r="AC36" s="23">
        <v>1530.1</v>
      </c>
      <c r="AD36" s="23">
        <v>495.3</v>
      </c>
      <c r="AE36" s="23">
        <v>469</v>
      </c>
      <c r="AF36" s="23">
        <v>975.8</v>
      </c>
      <c r="AG36" s="23">
        <v>786</v>
      </c>
      <c r="AH36" s="23">
        <v>1899.7</v>
      </c>
      <c r="AI36" s="23">
        <v>3320.2</v>
      </c>
      <c r="AJ36" s="23">
        <v>183.9</v>
      </c>
      <c r="AK36" s="23">
        <v>231</v>
      </c>
      <c r="AL36" s="23">
        <v>111.7</v>
      </c>
      <c r="AM36" s="23"/>
      <c r="AN36" s="24">
        <v>25754.6</v>
      </c>
    </row>
    <row r="37" spans="1:40" ht="12.75" customHeight="1" x14ac:dyDescent="0.25">
      <c r="A37" s="31" t="s">
        <v>76</v>
      </c>
      <c r="B37" s="42" t="s">
        <v>77</v>
      </c>
      <c r="C37" s="23"/>
      <c r="D37" s="23">
        <v>1</v>
      </c>
      <c r="E37" s="23">
        <v>92.6</v>
      </c>
      <c r="F37" s="23">
        <v>8.4</v>
      </c>
      <c r="G37" s="23">
        <v>11.9</v>
      </c>
      <c r="H37" s="23">
        <v>25.1</v>
      </c>
      <c r="I37" s="23">
        <v>23.1</v>
      </c>
      <c r="J37" s="23">
        <v>5.9</v>
      </c>
      <c r="K37" s="23">
        <v>16.7</v>
      </c>
      <c r="L37" s="23">
        <v>41.1</v>
      </c>
      <c r="M37" s="23">
        <v>6</v>
      </c>
      <c r="N37" s="23">
        <v>6.4</v>
      </c>
      <c r="O37" s="23">
        <v>15.9</v>
      </c>
      <c r="P37" s="23">
        <v>36.6</v>
      </c>
      <c r="Q37" s="23">
        <v>22.7</v>
      </c>
      <c r="R37" s="23">
        <v>42.3</v>
      </c>
      <c r="S37" s="23">
        <v>15.1</v>
      </c>
      <c r="T37" s="23">
        <v>164.6</v>
      </c>
      <c r="U37" s="23">
        <v>180.9</v>
      </c>
      <c r="V37" s="23">
        <v>170.7</v>
      </c>
      <c r="W37" s="23">
        <v>177.9</v>
      </c>
      <c r="X37" s="23">
        <v>32.200000000000003</v>
      </c>
      <c r="Y37" s="23">
        <v>46.3</v>
      </c>
      <c r="Z37" s="23">
        <v>87.9</v>
      </c>
      <c r="AA37" s="23">
        <v>422.1</v>
      </c>
      <c r="AB37" s="23">
        <v>26.3</v>
      </c>
      <c r="AC37" s="23">
        <v>85.3</v>
      </c>
      <c r="AD37" s="23">
        <v>113.9</v>
      </c>
      <c r="AE37" s="23">
        <v>52.6</v>
      </c>
      <c r="AF37" s="23">
        <v>275.5</v>
      </c>
      <c r="AG37" s="23">
        <v>332</v>
      </c>
      <c r="AH37" s="23">
        <v>17.899999999999999</v>
      </c>
      <c r="AI37" s="23">
        <v>6109.6</v>
      </c>
      <c r="AJ37" s="23">
        <v>265.5</v>
      </c>
      <c r="AK37" s="23">
        <v>30.9</v>
      </c>
      <c r="AL37" s="23">
        <v>11.3</v>
      </c>
      <c r="AM37" s="23"/>
      <c r="AN37" s="24">
        <v>8974.2000000000007</v>
      </c>
    </row>
    <row r="38" spans="1:40" ht="12.75" customHeight="1" x14ac:dyDescent="0.25">
      <c r="A38" s="31" t="s">
        <v>78</v>
      </c>
      <c r="B38" s="42" t="s">
        <v>79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4"/>
    </row>
    <row r="39" spans="1:40" ht="12.75" customHeight="1" x14ac:dyDescent="0.25">
      <c r="A39" s="31" t="s">
        <v>80</v>
      </c>
      <c r="B39" s="42" t="s">
        <v>81</v>
      </c>
      <c r="C39" s="23"/>
      <c r="D39" s="23"/>
      <c r="E39" s="23">
        <v>77.400000000000006</v>
      </c>
      <c r="F39" s="23">
        <v>6.2</v>
      </c>
      <c r="G39" s="23">
        <v>20</v>
      </c>
      <c r="H39" s="23">
        <v>19.3</v>
      </c>
      <c r="I39" s="23">
        <v>35.200000000000003</v>
      </c>
      <c r="J39" s="23">
        <v>26.5</v>
      </c>
      <c r="K39" s="23">
        <v>38.299999999999997</v>
      </c>
      <c r="L39" s="23">
        <v>55.6</v>
      </c>
      <c r="M39" s="23">
        <v>13.9</v>
      </c>
      <c r="N39" s="23">
        <v>9.8000000000000007</v>
      </c>
      <c r="O39" s="23">
        <v>25.4</v>
      </c>
      <c r="P39" s="23">
        <v>51.9</v>
      </c>
      <c r="Q39" s="23">
        <v>40.200000000000003</v>
      </c>
      <c r="R39" s="23">
        <v>41</v>
      </c>
      <c r="S39" s="23">
        <v>29.5</v>
      </c>
      <c r="T39" s="23">
        <v>58.2</v>
      </c>
      <c r="U39" s="23">
        <v>1438.8</v>
      </c>
      <c r="V39" s="23">
        <v>383.5</v>
      </c>
      <c r="W39" s="23">
        <v>498.8</v>
      </c>
      <c r="X39" s="23">
        <v>111.9</v>
      </c>
      <c r="Y39" s="23">
        <v>73.900000000000006</v>
      </c>
      <c r="Z39" s="23">
        <v>238.5</v>
      </c>
      <c r="AA39" s="23">
        <v>9.1</v>
      </c>
      <c r="AB39" s="23">
        <v>145.5</v>
      </c>
      <c r="AC39" s="23">
        <v>513.6</v>
      </c>
      <c r="AD39" s="23">
        <v>104.1</v>
      </c>
      <c r="AE39" s="23">
        <v>117.7</v>
      </c>
      <c r="AF39" s="23">
        <v>558.29999999999995</v>
      </c>
      <c r="AG39" s="23">
        <v>461</v>
      </c>
      <c r="AH39" s="23">
        <v>204.2</v>
      </c>
      <c r="AI39" s="23">
        <v>91.5</v>
      </c>
      <c r="AJ39" s="23">
        <v>132.69999999999999</v>
      </c>
      <c r="AK39" s="23">
        <v>1682</v>
      </c>
      <c r="AL39" s="23">
        <v>301.2</v>
      </c>
      <c r="AM39" s="23"/>
      <c r="AN39" s="24">
        <v>7614.7</v>
      </c>
    </row>
    <row r="40" spans="1:40" ht="12.75" customHeight="1" x14ac:dyDescent="0.25">
      <c r="A40" s="31" t="s">
        <v>82</v>
      </c>
      <c r="B40" s="42" t="s">
        <v>83</v>
      </c>
      <c r="C40" s="23">
        <v>88.5</v>
      </c>
      <c r="D40" s="23"/>
      <c r="E40" s="23">
        <v>572.4</v>
      </c>
      <c r="F40" s="23">
        <v>32</v>
      </c>
      <c r="G40" s="23">
        <v>58.4</v>
      </c>
      <c r="H40" s="23">
        <v>138.5</v>
      </c>
      <c r="I40" s="23">
        <v>175</v>
      </c>
      <c r="J40" s="23">
        <v>54.1</v>
      </c>
      <c r="K40" s="23">
        <v>122.9</v>
      </c>
      <c r="L40" s="23">
        <v>112.1</v>
      </c>
      <c r="M40" s="23">
        <v>58.3</v>
      </c>
      <c r="N40" s="23">
        <v>66.900000000000006</v>
      </c>
      <c r="O40" s="23">
        <v>186.1</v>
      </c>
      <c r="P40" s="23">
        <v>601.29999999999995</v>
      </c>
      <c r="Q40" s="23">
        <v>434.6</v>
      </c>
      <c r="R40" s="23">
        <v>213.6</v>
      </c>
      <c r="S40" s="23">
        <v>125.3</v>
      </c>
      <c r="T40" s="23">
        <v>583.9</v>
      </c>
      <c r="U40" s="23">
        <v>1371.7</v>
      </c>
      <c r="V40" s="23">
        <v>793.6</v>
      </c>
      <c r="W40" s="23">
        <v>210.7</v>
      </c>
      <c r="X40" s="23">
        <v>299</v>
      </c>
      <c r="Y40" s="23">
        <v>296.10000000000002</v>
      </c>
      <c r="Z40" s="23">
        <v>242.3</v>
      </c>
      <c r="AA40" s="23">
        <v>885.4</v>
      </c>
      <c r="AB40" s="23">
        <v>118.5</v>
      </c>
      <c r="AC40" s="23">
        <v>523.5</v>
      </c>
      <c r="AD40" s="23">
        <v>162.4</v>
      </c>
      <c r="AE40" s="23">
        <v>308.60000000000002</v>
      </c>
      <c r="AF40" s="23">
        <v>993.3</v>
      </c>
      <c r="AG40" s="23">
        <v>141</v>
      </c>
      <c r="AH40" s="23">
        <v>39.1</v>
      </c>
      <c r="AI40" s="23">
        <v>127.8</v>
      </c>
      <c r="AJ40" s="23">
        <v>63.9</v>
      </c>
      <c r="AK40" s="23">
        <v>72</v>
      </c>
      <c r="AL40" s="23">
        <v>1710.2</v>
      </c>
      <c r="AM40" s="23"/>
      <c r="AN40" s="24">
        <v>11983</v>
      </c>
    </row>
    <row r="41" spans="1:40" ht="12.75" customHeight="1" x14ac:dyDescent="0.25">
      <c r="A41" s="31" t="s">
        <v>84</v>
      </c>
      <c r="B41" s="42" t="s">
        <v>85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4"/>
    </row>
    <row r="42" spans="1:40" ht="12.75" customHeight="1" x14ac:dyDescent="0.25">
      <c r="A42" s="31" t="s">
        <v>86</v>
      </c>
      <c r="B42" s="42" t="s">
        <v>87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4"/>
    </row>
    <row r="43" spans="1:40" ht="12.75" customHeight="1" x14ac:dyDescent="0.25">
      <c r="A43" s="31" t="s">
        <v>88</v>
      </c>
      <c r="B43" s="42" t="s">
        <v>89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4"/>
    </row>
    <row r="44" spans="1:40" ht="12.75" customHeight="1" x14ac:dyDescent="0.25">
      <c r="A44" s="31" t="s">
        <v>90</v>
      </c>
      <c r="B44" s="42" t="s">
        <v>91</v>
      </c>
      <c r="C44" s="24">
        <v>56420.2</v>
      </c>
      <c r="D44" s="24">
        <v>3254.4</v>
      </c>
      <c r="E44" s="24">
        <v>126918.5</v>
      </c>
      <c r="F44" s="24">
        <v>11147.3</v>
      </c>
      <c r="G44" s="24">
        <v>26377.200000000001</v>
      </c>
      <c r="H44" s="24">
        <v>28342.400000000001</v>
      </c>
      <c r="I44" s="24">
        <v>48895.9</v>
      </c>
      <c r="J44" s="24">
        <v>18777.3</v>
      </c>
      <c r="K44" s="24">
        <v>37940</v>
      </c>
      <c r="L44" s="24">
        <v>64809.1</v>
      </c>
      <c r="M44" s="24">
        <v>16040.3</v>
      </c>
      <c r="N44" s="24">
        <v>14936.3</v>
      </c>
      <c r="O44" s="24">
        <v>27991.8</v>
      </c>
      <c r="P44" s="24">
        <v>92895.8</v>
      </c>
      <c r="Q44" s="24">
        <v>51294.7</v>
      </c>
      <c r="R44" s="24">
        <v>113734.7</v>
      </c>
      <c r="S44" s="24">
        <v>27779.3</v>
      </c>
      <c r="T44" s="24">
        <v>213410.7</v>
      </c>
      <c r="U44" s="24">
        <v>231401.4</v>
      </c>
      <c r="V44" s="24">
        <v>138869</v>
      </c>
      <c r="W44" s="24">
        <v>53184.6</v>
      </c>
      <c r="X44" s="24">
        <v>30842.400000000001</v>
      </c>
      <c r="Y44" s="24">
        <v>38001.800000000003</v>
      </c>
      <c r="Z44" s="24">
        <v>52224.3</v>
      </c>
      <c r="AA44" s="24">
        <v>162443.4</v>
      </c>
      <c r="AB44" s="24">
        <v>61217.2</v>
      </c>
      <c r="AC44" s="24">
        <v>156343.20000000001</v>
      </c>
      <c r="AD44" s="24">
        <v>36293</v>
      </c>
      <c r="AE44" s="24">
        <v>21326.5</v>
      </c>
      <c r="AF44" s="24">
        <v>89679.4</v>
      </c>
      <c r="AG44" s="24">
        <v>66868.100000000006</v>
      </c>
      <c r="AH44" s="24">
        <v>26508.799999999999</v>
      </c>
      <c r="AI44" s="24">
        <v>63378.400000000001</v>
      </c>
      <c r="AJ44" s="24">
        <v>16878</v>
      </c>
      <c r="AK44" s="24">
        <v>21712.2</v>
      </c>
      <c r="AL44" s="24">
        <v>19555.400000000001</v>
      </c>
      <c r="AM44" s="24"/>
      <c r="AN44" s="24">
        <v>2267693</v>
      </c>
    </row>
    <row r="45" spans="1:40" ht="12.75" customHeight="1" x14ac:dyDescent="0.2"/>
    <row r="46" spans="1:40" ht="12.75" customHeight="1" x14ac:dyDescent="0.2"/>
    <row r="47" spans="1:40" ht="12.75" customHeight="1" x14ac:dyDescent="0.2"/>
    <row r="48" spans="1:4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</sheetData>
  <mergeCells count="3">
    <mergeCell ref="A2:AN2"/>
    <mergeCell ref="A3:B3"/>
    <mergeCell ref="A4:B4"/>
  </mergeCells>
  <pageMargins left="0" right="0" top="0" bottom="0" header="0.511811023622047" footer="0.511811023622047"/>
  <pageSetup paperSize="9" scale="5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W63"/>
  <sheetViews>
    <sheetView tabSelected="1" zoomScale="70" zoomScaleNormal="70" workbookViewId="0">
      <selection activeCell="V17" sqref="V17"/>
    </sheetView>
  </sheetViews>
  <sheetFormatPr baseColWidth="10" defaultColWidth="10.7109375" defaultRowHeight="18" outlineLevelCol="1" x14ac:dyDescent="0.25"/>
  <cols>
    <col min="1" max="1" width="2.5703125" style="51" customWidth="1"/>
    <col min="2" max="2" width="23.28515625" style="34" customWidth="1" outlineLevel="1"/>
    <col min="3" max="3" width="9.85546875" style="34" customWidth="1" outlineLevel="1"/>
    <col min="4" max="4" width="9.5703125" style="34" customWidth="1" outlineLevel="1"/>
    <col min="5" max="5" width="10.85546875" style="34" customWidth="1" outlineLevel="1"/>
    <col min="6" max="6" width="9.28515625" style="34" customWidth="1" outlineLevel="1"/>
    <col min="7" max="7" width="16.85546875" style="34" customWidth="1" outlineLevel="1"/>
    <col min="8" max="8" width="8.85546875" style="34" customWidth="1" outlineLevel="1"/>
    <col min="9" max="9" width="9.42578125" style="34" customWidth="1" outlineLevel="1"/>
    <col min="10" max="10" width="10.42578125" style="34" customWidth="1" outlineLevel="1"/>
    <col min="11" max="11" width="10.140625" style="34" customWidth="1" outlineLevel="1"/>
    <col min="12" max="12" width="8.28515625" style="34" customWidth="1" outlineLevel="1"/>
    <col min="13" max="13" width="10.28515625" style="34" customWidth="1" outlineLevel="1"/>
    <col min="14" max="14" width="9.42578125" style="34" customWidth="1" outlineLevel="1"/>
    <col min="15" max="15" width="13.42578125" style="34" customWidth="1" outlineLevel="1"/>
    <col min="16" max="16" width="11.28515625" style="34" customWidth="1" outlineLevel="1"/>
    <col min="17" max="17" width="12.85546875" style="34" customWidth="1" outlineLevel="1"/>
    <col min="18" max="18" width="10.7109375" style="34" customWidth="1"/>
    <col min="19" max="19" width="14.28515625" style="34" bestFit="1" customWidth="1"/>
    <col min="20" max="20" width="15.85546875" style="34" customWidth="1"/>
    <col min="21" max="23" width="14" style="34" bestFit="1" customWidth="1"/>
    <col min="24" max="24" width="14.28515625" style="34" customWidth="1"/>
    <col min="25" max="25" width="10.7109375" style="135"/>
    <col min="26" max="30" width="10.7109375" style="51"/>
    <col min="31" max="31" width="10.7109375" style="34"/>
    <col min="32" max="101" width="10.7109375" style="51"/>
    <col min="102" max="16384" width="10.7109375" style="34"/>
  </cols>
  <sheetData>
    <row r="1" spans="1:101" ht="6.75" customHeight="1" x14ac:dyDescent="0.25">
      <c r="B1" s="6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AC1" s="51">
        <v>1</v>
      </c>
    </row>
    <row r="2" spans="1:101" ht="27" customHeight="1" x14ac:dyDescent="0.35">
      <c r="B2" s="1007" t="s">
        <v>405</v>
      </c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9"/>
      <c r="R2" s="224" t="s">
        <v>417</v>
      </c>
      <c r="S2" s="225"/>
      <c r="T2" s="225"/>
      <c r="U2" s="225"/>
      <c r="V2" s="225"/>
      <c r="W2" s="225"/>
      <c r="X2" s="226"/>
      <c r="Z2" s="196"/>
      <c r="AE2" s="60"/>
    </row>
    <row r="3" spans="1:101" ht="30" customHeight="1" x14ac:dyDescent="0.3">
      <c r="B3" s="270" t="s">
        <v>112</v>
      </c>
      <c r="C3" s="274" t="s">
        <v>13</v>
      </c>
      <c r="D3" s="269" t="s">
        <v>416</v>
      </c>
      <c r="E3" s="269" t="s">
        <v>47</v>
      </c>
      <c r="F3" s="269" t="s">
        <v>49</v>
      </c>
      <c r="G3" s="269" t="s">
        <v>416</v>
      </c>
      <c r="H3" s="269" t="s">
        <v>61</v>
      </c>
      <c r="I3" s="269" t="s">
        <v>63</v>
      </c>
      <c r="J3" s="269" t="s">
        <v>65</v>
      </c>
      <c r="K3" s="269" t="s">
        <v>73</v>
      </c>
      <c r="L3" s="269" t="s">
        <v>75</v>
      </c>
      <c r="M3" s="269" t="s">
        <v>77</v>
      </c>
      <c r="N3" s="269" t="s">
        <v>79</v>
      </c>
      <c r="O3" s="269" t="s">
        <v>81</v>
      </c>
      <c r="P3" s="269" t="s">
        <v>83</v>
      </c>
      <c r="Q3" s="288" t="s">
        <v>90</v>
      </c>
      <c r="R3" s="112" t="s">
        <v>115</v>
      </c>
      <c r="S3" s="112" t="s">
        <v>118</v>
      </c>
      <c r="T3" s="112" t="s">
        <v>116</v>
      </c>
      <c r="U3" s="112" t="s">
        <v>118</v>
      </c>
      <c r="V3" s="112" t="s">
        <v>118</v>
      </c>
      <c r="W3" s="112" t="s">
        <v>118</v>
      </c>
      <c r="X3" s="222" t="s">
        <v>118</v>
      </c>
      <c r="Z3" s="197"/>
      <c r="AE3" s="172" t="s">
        <v>123</v>
      </c>
    </row>
    <row r="4" spans="1:101" ht="30" customHeight="1" x14ac:dyDescent="0.3">
      <c r="B4" s="271" t="s">
        <v>11</v>
      </c>
      <c r="C4" s="272" t="s">
        <v>413</v>
      </c>
      <c r="D4" s="273"/>
      <c r="E4" s="273" t="s">
        <v>414</v>
      </c>
      <c r="F4" s="273" t="s">
        <v>415</v>
      </c>
      <c r="G4" s="273"/>
      <c r="H4" s="273" t="s">
        <v>407</v>
      </c>
      <c r="I4" s="273" t="s">
        <v>408</v>
      </c>
      <c r="J4" s="273" t="s">
        <v>421</v>
      </c>
      <c r="K4" s="273" t="s">
        <v>409</v>
      </c>
      <c r="L4" s="273" t="s">
        <v>410</v>
      </c>
      <c r="M4" s="273" t="s">
        <v>411</v>
      </c>
      <c r="N4" s="273" t="s">
        <v>423</v>
      </c>
      <c r="O4" s="273" t="s">
        <v>412</v>
      </c>
      <c r="P4" s="273" t="s">
        <v>422</v>
      </c>
      <c r="Q4" s="289"/>
      <c r="R4" s="61" t="s">
        <v>370</v>
      </c>
      <c r="S4" s="61" t="s">
        <v>101</v>
      </c>
      <c r="T4" s="61" t="s">
        <v>117</v>
      </c>
      <c r="U4" s="61" t="s">
        <v>119</v>
      </c>
      <c r="V4" s="61" t="s">
        <v>104</v>
      </c>
      <c r="W4" s="61" t="s">
        <v>99</v>
      </c>
      <c r="X4" s="223" t="s">
        <v>120</v>
      </c>
      <c r="Z4" s="198"/>
      <c r="AE4" s="220" t="s">
        <v>121</v>
      </c>
    </row>
    <row r="5" spans="1:101" s="40" customFormat="1" ht="30" customHeight="1" x14ac:dyDescent="0.35">
      <c r="A5" s="51"/>
      <c r="B5" s="277" t="s">
        <v>414</v>
      </c>
      <c r="C5" s="278">
        <f>TEI!C22/1000</f>
        <v>0.44789999999999996</v>
      </c>
      <c r="D5" s="278"/>
      <c r="E5" s="295">
        <f>TEI!T22/1000</f>
        <v>61.846599999999995</v>
      </c>
      <c r="F5" s="278">
        <f>TEI!U22/1000</f>
        <v>0.54949999999999999</v>
      </c>
      <c r="G5" s="278"/>
      <c r="H5" s="279">
        <f>TEI!AA22/1000</f>
        <v>1.9955999999999998</v>
      </c>
      <c r="I5" s="279">
        <f>TEI!AB22/1000</f>
        <v>5.1373999999999995</v>
      </c>
      <c r="J5" s="278">
        <f>TEI!AC22/1000</f>
        <v>0.42930000000000001</v>
      </c>
      <c r="K5" s="279">
        <f>TEI!AG22/1000</f>
        <v>5.63</v>
      </c>
      <c r="L5" s="279">
        <f>TEI!AH22/1000</f>
        <v>1.4877</v>
      </c>
      <c r="M5" s="279">
        <f>TEI!AI22/1000</f>
        <v>0.50700000000000001</v>
      </c>
      <c r="N5" s="279">
        <f>TEI!AJ22/1000</f>
        <v>0.8085</v>
      </c>
      <c r="O5" s="278">
        <f>TEI!AK22/1000</f>
        <v>1.2204000000000002</v>
      </c>
      <c r="P5" s="278">
        <f>TEI!AL22/1000</f>
        <v>0.13290000000000002</v>
      </c>
      <c r="Q5" s="280">
        <f>TEI!AN22/1000</f>
        <v>88.947500000000005</v>
      </c>
      <c r="R5" s="251">
        <f>'TEF (2)'!C22/1000</f>
        <v>21.7471</v>
      </c>
      <c r="S5" s="252">
        <f>'TEF (2)'!I22/1000</f>
        <v>78.669300000000007</v>
      </c>
      <c r="T5" s="252">
        <f>'TEF (2)'!J22/1000</f>
        <v>109.517</v>
      </c>
      <c r="U5" s="252">
        <f>'TEF (2)'!K22/1000</f>
        <v>11.557499999999999</v>
      </c>
      <c r="V5" s="252">
        <f>'TEF (2)'!L22/1000</f>
        <v>56.405000000000001</v>
      </c>
      <c r="W5" s="252">
        <f>'TEF (2)'!M22/1000</f>
        <v>2.8906000000000001</v>
      </c>
      <c r="X5" s="253">
        <f>'TEF (2)'!N22/1000</f>
        <v>259.0394</v>
      </c>
      <c r="Y5" s="51"/>
      <c r="Z5" s="171"/>
      <c r="AA5" s="51"/>
      <c r="AB5" s="51"/>
      <c r="AC5" s="51"/>
      <c r="AD5" s="51"/>
      <c r="AE5" s="221">
        <f>'TEF (2)'!P22/1000</f>
        <v>-0.83960000000000001</v>
      </c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</row>
    <row r="6" spans="1:101" ht="30" customHeight="1" x14ac:dyDescent="0.4">
      <c r="B6" s="281" t="s">
        <v>418</v>
      </c>
      <c r="C6" s="282">
        <f>Q5-E5-K6</f>
        <v>12.672100000000009</v>
      </c>
      <c r="D6" s="298" t="s">
        <v>113</v>
      </c>
      <c r="E6" s="296">
        <v>39.6</v>
      </c>
      <c r="F6" s="283"/>
      <c r="G6" s="283"/>
      <c r="H6" s="283"/>
      <c r="I6" s="299"/>
      <c r="J6" s="247" t="s">
        <v>114</v>
      </c>
      <c r="K6" s="284">
        <f>(SUM(TEI!AG22:AJ22)/1000)+4+(TEI!AA22/1000)</f>
        <v>14.428800000000001</v>
      </c>
      <c r="L6" s="246"/>
      <c r="M6" s="246"/>
      <c r="N6" s="246"/>
      <c r="O6" s="290" t="s">
        <v>420</v>
      </c>
      <c r="P6" s="291"/>
      <c r="Q6" s="292"/>
      <c r="R6" s="249"/>
      <c r="S6" s="249"/>
      <c r="T6" s="249"/>
      <c r="U6" s="249"/>
      <c r="V6" s="249"/>
      <c r="W6" s="249"/>
      <c r="X6" s="248"/>
      <c r="Z6" s="199"/>
      <c r="AB6" s="167">
        <f>Q5+R5-E5</f>
        <v>48.848000000000013</v>
      </c>
      <c r="AC6" s="164" t="s">
        <v>378</v>
      </c>
      <c r="AE6" s="62"/>
    </row>
    <row r="7" spans="1:101" ht="30" customHeight="1" x14ac:dyDescent="0.4">
      <c r="B7" s="285" t="s">
        <v>419</v>
      </c>
      <c r="C7" s="286"/>
      <c r="D7" s="254"/>
      <c r="E7" s="297">
        <f>E5-E6</f>
        <v>22.246599999999994</v>
      </c>
      <c r="F7" s="287"/>
      <c r="G7" s="300"/>
      <c r="H7" s="287"/>
      <c r="I7" s="287"/>
      <c r="J7" s="287"/>
      <c r="K7" s="287"/>
      <c r="L7" s="254"/>
      <c r="M7" s="254"/>
      <c r="N7" s="254"/>
      <c r="O7" s="254"/>
      <c r="P7" s="254"/>
      <c r="Q7" s="250">
        <f>C6+K6+R5</f>
        <v>48.848000000000013</v>
      </c>
      <c r="R7" s="254"/>
      <c r="S7" s="254"/>
      <c r="T7" s="254"/>
      <c r="U7" s="254"/>
      <c r="V7" s="254"/>
      <c r="W7" s="254"/>
      <c r="X7" s="255"/>
      <c r="Z7" s="196"/>
      <c r="AE7" s="59"/>
    </row>
    <row r="8" spans="1:101" ht="9.75" customHeight="1" x14ac:dyDescent="0.25">
      <c r="B8" s="46"/>
      <c r="Q8" s="45"/>
      <c r="AA8" s="51">
        <f>S10/(S10+5.5)</f>
        <v>0.67542842231111522</v>
      </c>
    </row>
    <row r="9" spans="1:101" s="40" customFormat="1" ht="30" customHeight="1" x14ac:dyDescent="0.4">
      <c r="A9" s="51"/>
      <c r="B9" s="213" t="s">
        <v>384</v>
      </c>
      <c r="C9" s="214"/>
      <c r="D9" s="214"/>
      <c r="E9" s="214"/>
      <c r="F9" s="213" t="s">
        <v>403</v>
      </c>
      <c r="G9" s="189"/>
      <c r="H9" s="189"/>
      <c r="I9" s="54"/>
      <c r="J9" s="54"/>
      <c r="K9" s="972" t="s">
        <v>1084</v>
      </c>
      <c r="L9" s="956"/>
      <c r="M9" s="957"/>
      <c r="N9" s="956"/>
      <c r="O9" s="958"/>
      <c r="P9" s="958">
        <f>'synthése 43Z'!L12</f>
        <v>1.8896539897115461</v>
      </c>
      <c r="Q9" s="982">
        <f>X9/X13</f>
        <v>1.8567574507515945</v>
      </c>
      <c r="R9" s="54"/>
      <c r="S9" s="64">
        <f>17.6*S$5/70.4-1.5</f>
        <v>18.167325000000002</v>
      </c>
      <c r="T9" s="64">
        <f>T5-T17</f>
        <v>106.81699999999999</v>
      </c>
      <c r="U9" s="64">
        <v>4</v>
      </c>
      <c r="V9" s="64">
        <f>1.8/54.9*V5</f>
        <v>1.8493442622950822</v>
      </c>
      <c r="W9" s="64">
        <f>W5-0.4</f>
        <v>2.4906000000000001</v>
      </c>
      <c r="X9" s="65">
        <f>SUM(S9:W9)</f>
        <v>133.3242692622951</v>
      </c>
      <c r="Y9" s="51"/>
      <c r="Z9" s="229">
        <f>S9+U9+W9</f>
        <v>24.657925000000002</v>
      </c>
      <c r="AA9" s="51"/>
      <c r="AB9" s="51">
        <f>131.7/121.4</f>
        <v>1.0848434925864907</v>
      </c>
      <c r="AC9" s="51"/>
      <c r="AD9" s="51"/>
      <c r="AE9" s="53"/>
      <c r="AF9" s="51"/>
      <c r="AG9" s="51"/>
      <c r="AH9" s="51">
        <f>X9/X13</f>
        <v>1.8567574507515945</v>
      </c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</row>
    <row r="10" spans="1:101" ht="30" customHeight="1" x14ac:dyDescent="0.4">
      <c r="B10" s="215" t="s">
        <v>382</v>
      </c>
      <c r="C10" s="210"/>
      <c r="D10" s="210"/>
      <c r="E10" s="210"/>
      <c r="F10" s="973" t="s">
        <v>1075</v>
      </c>
      <c r="G10" s="968"/>
      <c r="H10" s="969"/>
      <c r="I10" s="968" t="s">
        <v>1076</v>
      </c>
      <c r="J10" s="968"/>
      <c r="K10" s="969"/>
      <c r="L10" s="970"/>
      <c r="M10" s="971"/>
      <c r="N10" s="971"/>
      <c r="O10" s="968" t="s">
        <v>1082</v>
      </c>
      <c r="P10" s="969"/>
      <c r="Q10" s="981" t="s">
        <v>1083</v>
      </c>
      <c r="R10" s="196"/>
      <c r="S10" s="200">
        <f>S$9*0.63</f>
        <v>11.445414750000001</v>
      </c>
      <c r="T10" s="200">
        <f>T9-T11</f>
        <v>51.272159999999992</v>
      </c>
      <c r="U10" s="200">
        <f>U9-U11</f>
        <v>2.2999999999999998</v>
      </c>
      <c r="V10" s="200">
        <f>V9-V11</f>
        <v>0.88768524590163944</v>
      </c>
      <c r="W10" s="200">
        <f>W9-W11</f>
        <v>1.7320737588652484</v>
      </c>
      <c r="X10" s="227">
        <f t="shared" ref="X10:X20" si="0">SUM(S10:W10)</f>
        <v>67.637333754766885</v>
      </c>
      <c r="Z10" s="941">
        <f>X10/(X10+X11)</f>
        <v>0.50184382287357443</v>
      </c>
      <c r="AB10" s="168"/>
      <c r="AC10" s="168"/>
      <c r="AD10" s="168">
        <f>T10/(T11+T10)</f>
        <v>0.48</v>
      </c>
      <c r="AE10" s="53"/>
      <c r="AG10" s="51">
        <f>(S10+U10)/(S14+U14)</f>
        <v>0.57007626062861239</v>
      </c>
    </row>
    <row r="11" spans="1:101" ht="30" customHeight="1" x14ac:dyDescent="0.4">
      <c r="B11" s="215" t="s">
        <v>383</v>
      </c>
      <c r="C11" s="210"/>
      <c r="D11" s="210"/>
      <c r="E11" s="210"/>
      <c r="F11" s="942" t="s">
        <v>1065</v>
      </c>
      <c r="G11" s="948">
        <f>'synthése 43Z'!K4</f>
        <v>0.53402981876996292</v>
      </c>
      <c r="H11" s="55"/>
      <c r="I11" s="943" t="s">
        <v>1073</v>
      </c>
      <c r="J11" s="945"/>
      <c r="K11" s="302"/>
      <c r="L11" s="302"/>
      <c r="M11" s="302"/>
      <c r="N11" s="951">
        <f>CSL!N8/(CSL!N8+CSL!N12)</f>
        <v>0.50176999319461413</v>
      </c>
      <c r="O11" s="950" t="s">
        <v>1065</v>
      </c>
      <c r="P11" s="951">
        <f>44/(44+(53))</f>
        <v>0.45360824742268041</v>
      </c>
      <c r="Q11" s="982">
        <f>X10/(X11+X10)</f>
        <v>0.50184382287357443</v>
      </c>
      <c r="R11" s="196"/>
      <c r="S11" s="200">
        <f>S$9*0.45</f>
        <v>8.1752962500000006</v>
      </c>
      <c r="T11" s="200">
        <f>T9*0.52</f>
        <v>55.544840000000001</v>
      </c>
      <c r="U11" s="200">
        <f>S11/S$9*U$9-0.1</f>
        <v>1.7</v>
      </c>
      <c r="V11" s="200">
        <f>T11/T$9*V$9</f>
        <v>0.96165901639344276</v>
      </c>
      <c r="W11" s="200">
        <f>W5*(25.9/(25.9+72.8))</f>
        <v>0.75852624113475176</v>
      </c>
      <c r="X11" s="227">
        <f t="shared" si="0"/>
        <v>67.140321507528185</v>
      </c>
      <c r="Z11" s="53">
        <f>S11</f>
        <v>8.1752962500000006</v>
      </c>
      <c r="AB11" s="51">
        <f>5.5/12.7</f>
        <v>0.43307086614173229</v>
      </c>
      <c r="AD11" s="51">
        <f>S11/(S10)</f>
        <v>0.7142857142857143</v>
      </c>
      <c r="AE11" s="53"/>
    </row>
    <row r="12" spans="1:101" ht="30" customHeight="1" x14ac:dyDescent="0.4">
      <c r="B12" s="218" t="s">
        <v>385</v>
      </c>
      <c r="C12" s="259"/>
      <c r="D12" s="259"/>
      <c r="E12" s="259"/>
      <c r="F12" s="946" t="s">
        <v>393</v>
      </c>
      <c r="G12" s="949">
        <f>1-G11</f>
        <v>0.46597018123003708</v>
      </c>
      <c r="H12" s="56"/>
      <c r="I12" s="947" t="s">
        <v>1074</v>
      </c>
      <c r="J12" s="286"/>
      <c r="K12" s="254"/>
      <c r="L12" s="254"/>
      <c r="M12" s="959"/>
      <c r="N12" s="949">
        <f>1-N11</f>
        <v>0.49823000680538587</v>
      </c>
      <c r="O12" s="952" t="s">
        <v>393</v>
      </c>
      <c r="P12" s="949">
        <f>1-P11</f>
        <v>0.54639175257731964</v>
      </c>
      <c r="Q12" s="983"/>
      <c r="R12" s="944"/>
      <c r="S12" s="261">
        <f>C6*0.5-0.5-1+0.3</f>
        <v>5.1360500000000044</v>
      </c>
      <c r="T12" s="262">
        <f>R5+4+0.1</f>
        <v>25.847100000000001</v>
      </c>
      <c r="U12" s="261">
        <f>S12/S$9*U$9</f>
        <v>1.1308324147886393</v>
      </c>
      <c r="V12" s="261">
        <f>T12/T9*V9</f>
        <v>0.44749605476625653</v>
      </c>
      <c r="W12" s="261">
        <f>P5+0.2</f>
        <v>0.33290000000000003</v>
      </c>
      <c r="X12" s="263">
        <f t="shared" si="0"/>
        <v>32.894378469554901</v>
      </c>
      <c r="Z12" s="53"/>
      <c r="AA12" s="52">
        <f>S9+U9+V9+W9</f>
        <v>26.507269262295086</v>
      </c>
      <c r="AB12" s="52"/>
      <c r="AD12" s="51">
        <v>2019</v>
      </c>
      <c r="AE12" s="53"/>
    </row>
    <row r="13" spans="1:101" s="40" customFormat="1" ht="30" customHeight="1" x14ac:dyDescent="0.4">
      <c r="A13" s="51"/>
      <c r="B13" s="216" t="s">
        <v>386</v>
      </c>
      <c r="C13" s="217"/>
      <c r="D13" s="217"/>
      <c r="E13" s="217"/>
      <c r="F13" s="974" t="s">
        <v>1075</v>
      </c>
      <c r="G13" s="975"/>
      <c r="H13" s="976"/>
      <c r="I13" s="961" t="s">
        <v>1077</v>
      </c>
      <c r="J13" s="976"/>
      <c r="K13" s="976"/>
      <c r="L13" s="976"/>
      <c r="M13" s="961" t="s">
        <v>1081</v>
      </c>
      <c r="N13" s="976"/>
      <c r="O13" s="976"/>
      <c r="P13" s="977"/>
      <c r="Q13" s="984" t="s">
        <v>1083</v>
      </c>
      <c r="R13" s="196"/>
      <c r="S13" s="201">
        <f>S5-S9-S17</f>
        <v>38.854036822886101</v>
      </c>
      <c r="T13" s="201"/>
      <c r="U13" s="201">
        <f>U5-U9</f>
        <v>7.5574999999999992</v>
      </c>
      <c r="V13" s="201">
        <f>V5-V9-V17</f>
        <v>24.993355737704917</v>
      </c>
      <c r="W13" s="201">
        <f>W5-W9</f>
        <v>0.39999999999999991</v>
      </c>
      <c r="X13" s="228">
        <f>SUM(S13:W13)</f>
        <v>71.804892560591014</v>
      </c>
      <c r="Y13" s="51"/>
      <c r="Z13" s="53"/>
      <c r="AA13" s="51"/>
      <c r="AB13" s="51">
        <f>X13/X9</f>
        <v>0.53857330670476711</v>
      </c>
      <c r="AC13" s="51"/>
      <c r="AD13" s="51">
        <f>64/114.4</f>
        <v>0.55944055944055937</v>
      </c>
      <c r="AE13" s="53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</row>
    <row r="14" spans="1:101" ht="30" customHeight="1" x14ac:dyDescent="0.4">
      <c r="B14" s="215" t="s">
        <v>382</v>
      </c>
      <c r="C14" s="210"/>
      <c r="D14" s="210"/>
      <c r="E14" s="210"/>
      <c r="F14" s="942" t="s">
        <v>1065</v>
      </c>
      <c r="G14" s="200">
        <f>'synthése 43Z'!J42/1000</f>
        <v>31.550054436623117</v>
      </c>
      <c r="H14" s="301">
        <f>'synthése 43Z'!K45</f>
        <v>1.0710169830108509</v>
      </c>
      <c r="I14" s="945" t="s">
        <v>394</v>
      </c>
      <c r="J14" s="953">
        <f>SDES!D36</f>
        <v>26.704000000000001</v>
      </c>
      <c r="K14" s="301">
        <f>J14/J15</f>
        <v>0.76956772334293944</v>
      </c>
      <c r="L14" s="55"/>
      <c r="M14" s="945" t="s">
        <v>394</v>
      </c>
      <c r="N14" s="953">
        <v>32</v>
      </c>
      <c r="O14" s="301">
        <f>N14/N15</f>
        <v>0.86486486486486491</v>
      </c>
      <c r="P14" s="293"/>
      <c r="Q14" s="982">
        <f>X14/X15</f>
        <v>0.95096052630449435</v>
      </c>
      <c r="R14" s="196"/>
      <c r="S14" s="200">
        <f>S13-S15</f>
        <v>20.354036822886101</v>
      </c>
      <c r="T14" s="200"/>
      <c r="U14" s="200">
        <f>U13-U15</f>
        <v>3.7574999999999994</v>
      </c>
      <c r="V14" s="200">
        <f>X14-S14-U14-W14</f>
        <v>10.788463177113899</v>
      </c>
      <c r="W14" s="200">
        <v>0.1</v>
      </c>
      <c r="X14" s="227">
        <v>35</v>
      </c>
      <c r="Z14" s="53">
        <f>H21/J14</f>
        <v>0</v>
      </c>
      <c r="AA14">
        <f>V14/V15</f>
        <v>0.75948924858781386</v>
      </c>
      <c r="AB14">
        <f>X14/X15</f>
        <v>0.95096052630449435</v>
      </c>
      <c r="AC14"/>
      <c r="AE14" s="53">
        <f>X14/X15</f>
        <v>0.95096052630449435</v>
      </c>
    </row>
    <row r="15" spans="1:101" ht="30" customHeight="1" x14ac:dyDescent="0.4">
      <c r="B15" s="215" t="s">
        <v>383</v>
      </c>
      <c r="C15" s="210"/>
      <c r="D15" s="210"/>
      <c r="E15" s="210"/>
      <c r="F15" s="942" t="s">
        <v>393</v>
      </c>
      <c r="G15" s="200">
        <f>'synthése 43Z'!J43/1000</f>
        <v>29.458033753983408</v>
      </c>
      <c r="H15" s="55"/>
      <c r="I15" s="293" t="s">
        <v>393</v>
      </c>
      <c r="J15" s="200">
        <f>SDES!D37</f>
        <v>34.700000000000003</v>
      </c>
      <c r="K15" s="55"/>
      <c r="L15" s="55"/>
      <c r="M15" s="293" t="s">
        <v>393</v>
      </c>
      <c r="N15" s="953">
        <v>37</v>
      </c>
      <c r="O15" s="55"/>
      <c r="P15" s="55"/>
      <c r="Q15" s="979"/>
      <c r="R15" s="196"/>
      <c r="S15" s="200">
        <v>18.5</v>
      </c>
      <c r="T15" s="200"/>
      <c r="U15" s="200">
        <v>3.8</v>
      </c>
      <c r="V15" s="200">
        <f>V13-V14</f>
        <v>14.204892560591018</v>
      </c>
      <c r="W15" s="200">
        <f>W13-W14</f>
        <v>0.29999999999999993</v>
      </c>
      <c r="X15" s="227">
        <f t="shared" si="0"/>
        <v>36.804892560591014</v>
      </c>
      <c r="Z15" s="53" t="e">
        <f>SUM(H23:H24)/SUM(H21:H22)</f>
        <v>#DIV/0!</v>
      </c>
      <c r="AB15" s="51">
        <f>X14</f>
        <v>35</v>
      </c>
      <c r="AE15" s="53"/>
    </row>
    <row r="16" spans="1:101" ht="30" customHeight="1" x14ac:dyDescent="0.4">
      <c r="B16" s="215" t="s">
        <v>385</v>
      </c>
      <c r="C16" s="210"/>
      <c r="D16" s="210"/>
      <c r="E16" s="210"/>
      <c r="F16" s="978"/>
      <c r="G16" s="56"/>
      <c r="H16" s="56"/>
      <c r="I16" s="56"/>
      <c r="J16" s="56"/>
      <c r="K16" s="56"/>
      <c r="L16" s="56"/>
      <c r="M16" s="56"/>
      <c r="N16" s="56"/>
      <c r="O16" s="286"/>
      <c r="P16" s="286"/>
      <c r="Q16" s="980"/>
      <c r="R16" s="196"/>
      <c r="S16" s="200">
        <f>0.5*C6-0.2-1+0.182-0.5</f>
        <v>4.8180500000000048</v>
      </c>
      <c r="T16" s="200"/>
      <c r="U16" s="200">
        <f>TEI!AA22/1000-U12</f>
        <v>0.86476758521136055</v>
      </c>
      <c r="V16" s="200">
        <f>SUM(K5:N5)-V12-0.2-2.3+0.5</f>
        <v>5.9857039452337428</v>
      </c>
      <c r="W16" s="200">
        <v>0.1</v>
      </c>
      <c r="X16" s="227">
        <f t="shared" si="0"/>
        <v>11.768521530445108</v>
      </c>
      <c r="Z16" s="53">
        <f>S14/S15</f>
        <v>1.1002182066424919</v>
      </c>
      <c r="AE16" s="53"/>
    </row>
    <row r="17" spans="1:101" s="40" customFormat="1" ht="30" customHeight="1" x14ac:dyDescent="0.4">
      <c r="A17" s="51"/>
      <c r="B17" s="213" t="s">
        <v>387</v>
      </c>
      <c r="C17" s="214"/>
      <c r="D17" s="214"/>
      <c r="E17" s="257"/>
      <c r="F17" s="960" t="s">
        <v>397</v>
      </c>
      <c r="G17" s="961" t="s">
        <v>1079</v>
      </c>
      <c r="H17" s="962"/>
      <c r="I17" s="962"/>
      <c r="J17" s="962"/>
      <c r="K17" s="962"/>
      <c r="L17" s="962"/>
      <c r="M17" s="962"/>
      <c r="N17" s="962"/>
      <c r="O17" s="962"/>
      <c r="P17" s="962"/>
      <c r="Q17" s="963"/>
      <c r="R17" s="196"/>
      <c r="S17" s="201">
        <f>13.49*1.095+AD19</f>
        <v>21.6479381771139</v>
      </c>
      <c r="T17" s="201">
        <f>0.7+1.8+0.2</f>
        <v>2.7</v>
      </c>
      <c r="U17" s="201"/>
      <c r="V17" s="201">
        <f>23.6+5.47*1.09</f>
        <v>29.5623</v>
      </c>
      <c r="W17" s="201"/>
      <c r="X17" s="228">
        <f>X18+X19</f>
        <v>53.910238177113904</v>
      </c>
      <c r="Y17" s="51"/>
      <c r="Z17" s="53"/>
      <c r="AA17" s="51">
        <f>(X10+X14)/(X10+X14+X11+X15)</f>
        <v>0.49683448498642385</v>
      </c>
      <c r="AB17" s="51">
        <v>14</v>
      </c>
      <c r="AC17" s="51"/>
      <c r="AD17" s="51">
        <v>14.146815279728967</v>
      </c>
      <c r="AE17" s="53"/>
      <c r="AF17" s="51">
        <v>53.6</v>
      </c>
      <c r="AG17" s="52">
        <f>S17+T17+V17</f>
        <v>53.910238177113897</v>
      </c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</row>
    <row r="18" spans="1:101" ht="30" customHeight="1" x14ac:dyDescent="0.4">
      <c r="B18" s="215" t="s">
        <v>382</v>
      </c>
      <c r="C18" s="210"/>
      <c r="D18" s="210"/>
      <c r="E18" s="258"/>
      <c r="F18" s="964"/>
      <c r="G18" s="965" t="s">
        <v>1078</v>
      </c>
      <c r="H18" s="966"/>
      <c r="I18" s="966"/>
      <c r="J18" s="966"/>
      <c r="K18" s="966"/>
      <c r="L18" s="966"/>
      <c r="M18" s="966"/>
      <c r="N18" s="966"/>
      <c r="O18" s="966"/>
      <c r="P18" s="966"/>
      <c r="Q18" s="967"/>
      <c r="R18" s="196"/>
      <c r="S18" s="200">
        <f>S17-S19</f>
        <v>19.1479381771139</v>
      </c>
      <c r="T18" s="200">
        <f>T17-T19</f>
        <v>1.35</v>
      </c>
      <c r="U18" s="200"/>
      <c r="V18" s="200">
        <f>V17-V19</f>
        <v>23.0623</v>
      </c>
      <c r="W18" s="200"/>
      <c r="X18" s="227">
        <f t="shared" si="0"/>
        <v>43.560238177113902</v>
      </c>
      <c r="Z18" s="53"/>
      <c r="AD18" s="51">
        <v>1.8012817859326904</v>
      </c>
      <c r="AE18" s="53"/>
    </row>
    <row r="19" spans="1:101" ht="30" customHeight="1" x14ac:dyDescent="0.4">
      <c r="B19" s="215" t="s">
        <v>383</v>
      </c>
      <c r="C19" s="210"/>
      <c r="D19" s="210"/>
      <c r="E19" s="258"/>
      <c r="F19" s="964"/>
      <c r="G19" s="965" t="s">
        <v>1080</v>
      </c>
      <c r="H19" s="966"/>
      <c r="I19" s="966"/>
      <c r="J19" s="966"/>
      <c r="K19" s="966"/>
      <c r="L19" s="966"/>
      <c r="M19" s="966"/>
      <c r="N19" s="966"/>
      <c r="O19" s="966"/>
      <c r="P19" s="966"/>
      <c r="Q19" s="967"/>
      <c r="R19" s="196"/>
      <c r="S19" s="200">
        <v>2.5</v>
      </c>
      <c r="T19" s="200">
        <f>T17*0.5</f>
        <v>1.35</v>
      </c>
      <c r="U19" s="200"/>
      <c r="V19" s="200">
        <v>6.5</v>
      </c>
      <c r="W19" s="200"/>
      <c r="X19" s="227">
        <f t="shared" si="0"/>
        <v>10.35</v>
      </c>
      <c r="Z19" s="53"/>
      <c r="AD19" s="51">
        <v>6.8763881771139026</v>
      </c>
      <c r="AE19" s="53"/>
    </row>
    <row r="20" spans="1:101" ht="30" customHeight="1" x14ac:dyDescent="0.4">
      <c r="B20" s="218" t="s">
        <v>385</v>
      </c>
      <c r="C20" s="259"/>
      <c r="D20" s="259"/>
      <c r="E20" s="260"/>
      <c r="F20" s="988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989"/>
      <c r="R20" s="196"/>
      <c r="S20" s="200">
        <v>1.7350000000000001</v>
      </c>
      <c r="T20" s="200"/>
      <c r="U20" s="200"/>
      <c r="V20" s="200">
        <v>2.4500000000000002</v>
      </c>
      <c r="W20" s="200"/>
      <c r="X20" s="227">
        <f t="shared" si="0"/>
        <v>4.1850000000000005</v>
      </c>
      <c r="Z20" s="53"/>
      <c r="AA20" s="164"/>
      <c r="AD20" s="51">
        <v>5.4691453166823756</v>
      </c>
      <c r="AE20" s="53"/>
    </row>
    <row r="21" spans="1:101" s="40" customFormat="1" ht="30" customHeight="1" x14ac:dyDescent="0.4">
      <c r="A21" s="51"/>
      <c r="B21" s="294" t="s">
        <v>381</v>
      </c>
      <c r="C21" s="193"/>
      <c r="D21" s="194"/>
      <c r="E21" s="194"/>
      <c r="F21" s="992"/>
      <c r="G21" s="993"/>
      <c r="H21" s="993"/>
      <c r="I21" s="993"/>
      <c r="J21" s="993"/>
      <c r="K21" s="993"/>
      <c r="L21" s="993"/>
      <c r="M21" s="993"/>
      <c r="N21" s="993"/>
      <c r="O21" s="993"/>
      <c r="P21" s="954"/>
      <c r="Q21" s="955"/>
      <c r="R21" s="194"/>
      <c r="S21" s="202">
        <f>S17+S13+S9</f>
        <v>78.669300000000007</v>
      </c>
      <c r="T21" s="202">
        <f>T9+T17</f>
        <v>109.517</v>
      </c>
      <c r="U21" s="202">
        <f>U17+U13+U9</f>
        <v>11.557499999999999</v>
      </c>
      <c r="V21" s="202">
        <f>V17+V13+V9</f>
        <v>56.405000000000001</v>
      </c>
      <c r="W21" s="202">
        <f>W17+W13+W9</f>
        <v>2.8906000000000001</v>
      </c>
      <c r="X21" s="195">
        <f>S21+T21+U21+V21+W21</f>
        <v>259.03940000000006</v>
      </c>
      <c r="Y21" s="51"/>
      <c r="Z21" s="53"/>
      <c r="AA21" s="147">
        <f>X5-X21</f>
        <v>0</v>
      </c>
      <c r="AB21" s="52">
        <v>0.38315997629513276</v>
      </c>
      <c r="AC21" s="51">
        <v>0.11684002370481039</v>
      </c>
      <c r="AD21" s="51"/>
      <c r="AE21" s="53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</row>
    <row r="22" spans="1:101" ht="30" customHeight="1" x14ac:dyDescent="0.4">
      <c r="B22" s="215" t="s">
        <v>382</v>
      </c>
      <c r="C22" s="169"/>
      <c r="D22" s="55"/>
      <c r="E22" s="55"/>
      <c r="F22" s="994"/>
      <c r="G22" s="203"/>
      <c r="H22" s="203"/>
      <c r="I22" s="203"/>
      <c r="J22" s="203"/>
      <c r="K22" s="203"/>
      <c r="L22" s="203"/>
      <c r="M22" s="203"/>
      <c r="N22" s="985"/>
      <c r="O22" s="196"/>
      <c r="P22" s="196"/>
      <c r="Q22" s="986"/>
      <c r="R22" s="55"/>
      <c r="S22" s="200">
        <f>S10+S14+S18</f>
        <v>50.947389749999999</v>
      </c>
      <c r="T22" s="200">
        <f t="shared" ref="T22:W22" si="1">T10+T14+T18</f>
        <v>52.622159999999994</v>
      </c>
      <c r="U22" s="200">
        <f t="shared" si="1"/>
        <v>6.0574999999999992</v>
      </c>
      <c r="V22" s="200">
        <f t="shared" si="1"/>
        <v>34.738448423015541</v>
      </c>
      <c r="W22" s="200">
        <f t="shared" si="1"/>
        <v>1.8320737588652485</v>
      </c>
      <c r="X22" s="58">
        <f>SUM(S22:W22)</f>
        <v>146.19757193188079</v>
      </c>
      <c r="Z22" s="53"/>
      <c r="AA22" s="52">
        <f>S21-S5</f>
        <v>0</v>
      </c>
      <c r="AE22" s="53"/>
    </row>
    <row r="23" spans="1:101" ht="30" customHeight="1" x14ac:dyDescent="0.4">
      <c r="B23" s="215" t="s">
        <v>383</v>
      </c>
      <c r="C23" s="169"/>
      <c r="D23" s="55"/>
      <c r="E23" s="55"/>
      <c r="F23" s="994"/>
      <c r="G23" s="203"/>
      <c r="H23" s="203"/>
      <c r="I23" s="203"/>
      <c r="J23" s="203"/>
      <c r="K23" s="203"/>
      <c r="L23" s="203"/>
      <c r="M23" s="203"/>
      <c r="N23" s="985"/>
      <c r="O23" s="196"/>
      <c r="P23" s="196"/>
      <c r="Q23" s="986"/>
      <c r="R23" s="55"/>
      <c r="S23" s="200">
        <f t="shared" ref="S23:W24" si="2">S11+S15+S19</f>
        <v>29.175296250000002</v>
      </c>
      <c r="T23" s="200">
        <f t="shared" si="2"/>
        <v>56.894840000000002</v>
      </c>
      <c r="U23" s="200">
        <f t="shared" si="2"/>
        <v>5.5</v>
      </c>
      <c r="V23" s="200">
        <f t="shared" si="2"/>
        <v>21.66655157698446</v>
      </c>
      <c r="W23" s="200">
        <f t="shared" si="2"/>
        <v>1.0585262411347518</v>
      </c>
      <c r="X23" s="58">
        <f t="shared" ref="X23:X24" si="3">SUM(S23:W23)</f>
        <v>114.29521406811922</v>
      </c>
      <c r="Z23" s="53"/>
      <c r="AB23" s="51">
        <f>53.6/50.8</f>
        <v>1.0551181102362206</v>
      </c>
      <c r="AE23" s="53"/>
    </row>
    <row r="24" spans="1:101" ht="30" customHeight="1" x14ac:dyDescent="0.4">
      <c r="B24" s="218" t="s">
        <v>385</v>
      </c>
      <c r="C24" s="170"/>
      <c r="D24" s="56"/>
      <c r="E24" s="56"/>
      <c r="F24" s="995"/>
      <c r="G24" s="996"/>
      <c r="H24" s="996"/>
      <c r="I24" s="996"/>
      <c r="J24" s="996"/>
      <c r="K24" s="996"/>
      <c r="L24" s="996"/>
      <c r="M24" s="996"/>
      <c r="N24" s="996"/>
      <c r="O24" s="996"/>
      <c r="P24" s="944"/>
      <c r="Q24" s="987"/>
      <c r="R24" s="56"/>
      <c r="S24" s="57">
        <f t="shared" si="2"/>
        <v>11.689100000000009</v>
      </c>
      <c r="T24" s="57">
        <f t="shared" si="2"/>
        <v>25.847100000000001</v>
      </c>
      <c r="U24" s="57">
        <f t="shared" si="2"/>
        <v>1.9955999999999998</v>
      </c>
      <c r="V24" s="57">
        <f t="shared" si="2"/>
        <v>8.8831999999999987</v>
      </c>
      <c r="W24" s="57">
        <f t="shared" si="2"/>
        <v>0.43290000000000006</v>
      </c>
      <c r="X24" s="166">
        <f t="shared" si="3"/>
        <v>48.84790000000001</v>
      </c>
      <c r="Z24" s="229">
        <f>X24-Q7</f>
        <v>-1.0000000000331966E-4</v>
      </c>
      <c r="AA24" s="52">
        <f>S5-S21</f>
        <v>0</v>
      </c>
      <c r="AB24" s="52">
        <f>T21-T5</f>
        <v>0</v>
      </c>
      <c r="AC24" s="52">
        <f>U21-U5</f>
        <v>0</v>
      </c>
      <c r="AD24" s="52">
        <f>V21-V5</f>
        <v>0</v>
      </c>
      <c r="AE24" s="52">
        <f>W21-W5</f>
        <v>0</v>
      </c>
      <c r="AF24" s="52">
        <f>X21-X5</f>
        <v>0</v>
      </c>
    </row>
    <row r="25" spans="1:101" ht="30" customHeight="1" x14ac:dyDescent="0.4">
      <c r="B25" s="178" t="s">
        <v>380</v>
      </c>
      <c r="C25" s="179"/>
      <c r="D25" s="179"/>
      <c r="E25" s="179"/>
      <c r="F25" s="990"/>
      <c r="G25" s="990"/>
      <c r="H25" s="990"/>
      <c r="I25" s="990"/>
      <c r="J25" s="990"/>
      <c r="K25" s="991"/>
      <c r="L25" s="991"/>
      <c r="M25" s="991"/>
      <c r="N25" s="991"/>
      <c r="O25" s="991"/>
      <c r="P25" s="991"/>
      <c r="Q25" s="991"/>
      <c r="R25" s="177"/>
      <c r="S25" s="180">
        <f>S24/(S24+S23)</f>
        <v>0.28604607121780257</v>
      </c>
      <c r="T25" s="180">
        <f t="shared" ref="T25:X25" si="4">T24/(T24+T23)</f>
        <v>0.3123820882130634</v>
      </c>
      <c r="U25" s="180">
        <f t="shared" si="4"/>
        <v>0.26623619189924758</v>
      </c>
      <c r="V25" s="180">
        <f t="shared" si="4"/>
        <v>0.29077814193069951</v>
      </c>
      <c r="W25" s="180">
        <f t="shared" si="4"/>
        <v>0.29025907420713482</v>
      </c>
      <c r="X25" s="181">
        <f t="shared" si="4"/>
        <v>0.29941747942609404</v>
      </c>
      <c r="Z25" s="53"/>
      <c r="AB25" s="52">
        <v>0.5</v>
      </c>
      <c r="AE25" s="53"/>
    </row>
    <row r="26" spans="1:101" ht="30" customHeight="1" x14ac:dyDescent="0.4">
      <c r="B26" s="173" t="s">
        <v>379</v>
      </c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5">
        <f>(S12+S16)/(S12+S16+S11+S15)</f>
        <v>0.2717516808647919</v>
      </c>
      <c r="T26" s="175">
        <f t="shared" ref="T26:X26" si="5">(T12+T16)/(T12+T16+T11+T15)</f>
        <v>0.31756338526886074</v>
      </c>
      <c r="U26" s="175">
        <f t="shared" si="5"/>
        <v>0.26623619189924758</v>
      </c>
      <c r="V26" s="175">
        <f t="shared" si="5"/>
        <v>0.29783675877341448</v>
      </c>
      <c r="W26" s="175">
        <f t="shared" si="5"/>
        <v>0.29025907420713482</v>
      </c>
      <c r="X26" s="176">
        <f t="shared" si="5"/>
        <v>0.30054146289432998</v>
      </c>
      <c r="Z26" s="53"/>
      <c r="AE26" s="53"/>
    </row>
    <row r="27" spans="1:101" ht="20.25" customHeight="1" x14ac:dyDescent="0.4">
      <c r="B27" s="256" t="s">
        <v>1085</v>
      </c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6"/>
      <c r="T27" s="276"/>
      <c r="U27" s="276"/>
      <c r="V27" s="276"/>
      <c r="W27" s="276"/>
      <c r="X27" s="276"/>
      <c r="Z27" s="53"/>
      <c r="AE27" s="53"/>
    </row>
    <row r="28" spans="1:101" s="196" customFormat="1" ht="21" customHeight="1" x14ac:dyDescent="0.4"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203"/>
      <c r="R28" s="203"/>
      <c r="S28" s="203"/>
      <c r="T28" s="203"/>
      <c r="U28" s="188"/>
      <c r="V28" s="188"/>
      <c r="W28" s="188"/>
      <c r="X28" s="188"/>
      <c r="Z28" s="204"/>
      <c r="AE28" s="204"/>
    </row>
    <row r="29" spans="1:101" s="51" customFormat="1" ht="10.5" customHeight="1" x14ac:dyDescent="0.4">
      <c r="A29" s="196"/>
      <c r="B29" s="23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35"/>
      <c r="R29" s="135"/>
      <c r="S29" s="135"/>
      <c r="T29" s="135"/>
      <c r="U29" s="188"/>
      <c r="V29" s="188"/>
      <c r="W29" s="188"/>
      <c r="X29" s="235"/>
      <c r="Y29" s="135"/>
      <c r="Z29" s="53"/>
      <c r="AE29" s="53"/>
    </row>
    <row r="30" spans="1:101" ht="23.1" customHeight="1" x14ac:dyDescent="0.4">
      <c r="B30" s="205" t="s">
        <v>400</v>
      </c>
      <c r="C30" s="190"/>
      <c r="D30" s="190"/>
      <c r="E30" s="190"/>
      <c r="F30" s="237" t="s">
        <v>402</v>
      </c>
      <c r="G30" s="54"/>
      <c r="H30" s="190"/>
      <c r="I30" s="190"/>
      <c r="J30" s="190"/>
      <c r="K30" s="190"/>
      <c r="L30" s="190"/>
      <c r="M30" s="190"/>
      <c r="N30" s="190"/>
      <c r="O30" s="190"/>
      <c r="P30" s="172"/>
      <c r="Q30" s="191" t="s">
        <v>33</v>
      </c>
      <c r="R30" s="191" t="s">
        <v>370</v>
      </c>
      <c r="S30" s="192" t="s">
        <v>118</v>
      </c>
      <c r="T30" s="230" t="s">
        <v>132</v>
      </c>
      <c r="U30" s="241"/>
      <c r="V30" s="241"/>
      <c r="W30" s="241"/>
      <c r="X30" s="241"/>
      <c r="Z30" s="53"/>
      <c r="AE30" s="53"/>
    </row>
    <row r="31" spans="1:101" ht="23.1" customHeight="1" x14ac:dyDescent="0.4">
      <c r="B31" s="209" t="s">
        <v>368</v>
      </c>
      <c r="C31" s="141"/>
      <c r="D31" s="141"/>
      <c r="E31" s="141"/>
      <c r="F31" s="141"/>
      <c r="G31" s="55"/>
      <c r="H31" s="141"/>
      <c r="I31" s="141"/>
      <c r="J31" s="141"/>
      <c r="K31" s="141"/>
      <c r="L31" s="141"/>
      <c r="M31" s="141"/>
      <c r="N31" s="141"/>
      <c r="O31" s="141"/>
      <c r="P31" s="266"/>
      <c r="Q31" s="206">
        <f>Q5/($Q5+$R5+$X5)</f>
        <v>0.2405716001233319</v>
      </c>
      <c r="R31" s="206">
        <f>R5/($Q5+$R5+$X5)</f>
        <v>5.8818231485338102E-2</v>
      </c>
      <c r="S31" s="206">
        <f>X5/($Q5+$R5+$X5)</f>
        <v>0.70061016839132995</v>
      </c>
      <c r="T31" s="238">
        <f>Q31+R31+S31</f>
        <v>1</v>
      </c>
      <c r="U31" s="140"/>
      <c r="V31" s="140"/>
      <c r="W31" s="140"/>
      <c r="X31" s="140"/>
      <c r="Z31" s="53"/>
      <c r="AE31" s="53"/>
    </row>
    <row r="32" spans="1:101" ht="23.1" customHeight="1" x14ac:dyDescent="0.4">
      <c r="B32" s="209" t="s">
        <v>369</v>
      </c>
      <c r="C32" s="141"/>
      <c r="D32" s="141"/>
      <c r="E32" s="141"/>
      <c r="F32" s="141"/>
      <c r="G32" s="196"/>
      <c r="H32" s="141"/>
      <c r="I32" s="141"/>
      <c r="J32" s="141"/>
      <c r="K32" s="141"/>
      <c r="L32" s="141"/>
      <c r="M32" s="141"/>
      <c r="N32" s="141"/>
      <c r="O32" s="141"/>
      <c r="P32" s="266"/>
      <c r="Q32" s="206">
        <f>mondial!C20/(mondial!$C20+mondial!$E20+mondial!$F20)</f>
        <v>0.22904255395598519</v>
      </c>
      <c r="R32" s="206">
        <f>mondial!E20/(mondial!$C20+mondial!$E20+mondial!$F20)</f>
        <v>5.9998860464376171E-2</v>
      </c>
      <c r="S32" s="206">
        <f>mondial!F20/(mondial!$C20+mondial!$E20+mondial!$F20)</f>
        <v>0.71095858557963865</v>
      </c>
      <c r="T32" s="238">
        <f t="shared" ref="T32:T41" si="6">Q32+R32+S32</f>
        <v>1</v>
      </c>
      <c r="U32" s="140"/>
      <c r="V32" s="140"/>
      <c r="W32" s="140"/>
      <c r="X32" s="140"/>
      <c r="Z32" s="53"/>
      <c r="AE32" s="53"/>
    </row>
    <row r="33" spans="2:25" ht="23.1" customHeight="1" x14ac:dyDescent="0.4">
      <c r="B33" s="211" t="s">
        <v>372</v>
      </c>
      <c r="C33" s="184"/>
      <c r="D33" s="184"/>
      <c r="E33" s="184"/>
      <c r="F33" s="184"/>
      <c r="G33" s="185"/>
      <c r="H33" s="184"/>
      <c r="I33" s="184"/>
      <c r="J33" s="184"/>
      <c r="K33" s="184"/>
      <c r="L33" s="184"/>
      <c r="M33" s="184"/>
      <c r="N33" s="184"/>
      <c r="O33" s="184"/>
      <c r="P33" s="267"/>
      <c r="Q33" s="207">
        <f>mondial!C37/(mondial!$C37+mondial!$E37+mondial!$F37)</f>
        <v>0.35149878500645532</v>
      </c>
      <c r="R33" s="207">
        <f>mondial!E37/(mondial!$C37+mondial!$E37+mondial!$F37)</f>
        <v>2.8592400924406076E-2</v>
      </c>
      <c r="S33" s="207">
        <f>mondial!F37/(mondial!$C37+mondial!$E37+mondial!$F37)</f>
        <v>0.61990881406913856</v>
      </c>
      <c r="T33" s="239">
        <f t="shared" si="6"/>
        <v>1</v>
      </c>
      <c r="U33" s="145"/>
      <c r="V33" s="145"/>
      <c r="W33" s="145"/>
      <c r="X33" s="145"/>
    </row>
    <row r="34" spans="2:25" ht="23.1" customHeight="1" x14ac:dyDescent="0.4">
      <c r="B34" s="209" t="s">
        <v>375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9"/>
      <c r="Q34" s="206">
        <f>mondial!C19/(mondial!$C19+mondial!$E19+mondial!$F19)</f>
        <v>0.30154793726941026</v>
      </c>
      <c r="R34" s="206">
        <f>mondial!E19/(mondial!$C19+mondial!$E19+mondial!$F19)</f>
        <v>5.9725027333194916E-2</v>
      </c>
      <c r="S34" s="206">
        <f>mondial!F19/(mondial!$C19+mondial!$E19+mondial!$F19)</f>
        <v>0.63872703539739495</v>
      </c>
      <c r="T34" s="238">
        <f t="shared" si="6"/>
        <v>1</v>
      </c>
      <c r="U34" s="145"/>
      <c r="V34" s="145"/>
      <c r="W34" s="145"/>
      <c r="X34" s="145"/>
    </row>
    <row r="35" spans="2:25" ht="23.1" customHeight="1" x14ac:dyDescent="0.4">
      <c r="B35" s="209" t="s">
        <v>373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9"/>
      <c r="Q35" s="206">
        <f>mondial!C22/(mondial!$C22+mondial!$E22+mondial!$F22)</f>
        <v>0.3042831605291384</v>
      </c>
      <c r="R35" s="206">
        <f>mondial!E22/(mondial!$C22+mondial!$E22+mondial!$F22)</f>
        <v>4.8071081449701403E-2</v>
      </c>
      <c r="S35" s="206">
        <f>mondial!F22/(mondial!$C22+mondial!$E22+mondial!$F22)</f>
        <v>0.6476457580211602</v>
      </c>
      <c r="T35" s="238">
        <f t="shared" si="6"/>
        <v>1</v>
      </c>
      <c r="U35" s="145"/>
      <c r="V35" s="145"/>
      <c r="W35" s="145"/>
      <c r="X35" s="145"/>
    </row>
    <row r="36" spans="2:25" ht="23.1" customHeight="1" x14ac:dyDescent="0.4">
      <c r="B36" s="209" t="s">
        <v>374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9"/>
      <c r="Q36" s="206">
        <f>mondial!C15/(mondial!$C15+mondial!$E15+mondial!$F15)</f>
        <v>0.35717829833450027</v>
      </c>
      <c r="R36" s="206">
        <f>mondial!E15/(mondial!$C15+mondial!$E15+mondial!$F15)</f>
        <v>1.5571678234934147E-2</v>
      </c>
      <c r="S36" s="206">
        <f>mondial!F15/(mondial!$C15+mondial!$E15+mondial!$F15)</f>
        <v>0.62725002343056557</v>
      </c>
      <c r="T36" s="238">
        <f t="shared" si="6"/>
        <v>1</v>
      </c>
      <c r="U36" s="145"/>
      <c r="V36" s="145"/>
      <c r="W36" s="145"/>
      <c r="X36" s="145"/>
    </row>
    <row r="37" spans="2:25" ht="23.1" customHeight="1" x14ac:dyDescent="0.4">
      <c r="B37" s="209" t="s">
        <v>389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9"/>
      <c r="Q37" s="206">
        <f>mondial!C27/(mondial!$C27+mondial!$E27+mondial!$F27)</f>
        <v>0.4662872274888053</v>
      </c>
      <c r="R37" s="206">
        <f>mondial!E27/(mondial!$C27+mondial!$E27+mondial!$F27)</f>
        <v>5.7007824783692086E-3</v>
      </c>
      <c r="S37" s="206">
        <f>mondial!F27/(mondial!$C27+mondial!$E27+mondial!$F27)</f>
        <v>0.52801199003282551</v>
      </c>
      <c r="T37" s="238">
        <f t="shared" ref="T37" si="7">Q37+R37+S37</f>
        <v>1</v>
      </c>
      <c r="U37" s="145"/>
      <c r="V37" s="145"/>
      <c r="W37" s="145"/>
      <c r="X37" s="145"/>
    </row>
    <row r="38" spans="2:25" ht="23.1" customHeight="1" x14ac:dyDescent="0.4">
      <c r="B38" s="209" t="s">
        <v>388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9"/>
      <c r="Q38" s="206">
        <f>mondial!C12/(mondial!$C12+mondial!$E12+mondial!$F12)</f>
        <v>0.44947026381327865</v>
      </c>
      <c r="R38" s="206">
        <f>mondial!E12/(mondial!$C12+mondial!$E12+mondial!$F12)</f>
        <v>3.146635688903623E-3</v>
      </c>
      <c r="S38" s="206">
        <f>mondial!F12/(mondial!$C12+mondial!$E12+mondial!$F12)</f>
        <v>0.5473831004978178</v>
      </c>
      <c r="T38" s="238">
        <f t="shared" ref="T38" si="8">Q38+R38+S38</f>
        <v>1</v>
      </c>
      <c r="U38" s="145"/>
      <c r="V38" s="145"/>
      <c r="W38" s="145"/>
      <c r="X38" s="145"/>
    </row>
    <row r="39" spans="2:25" ht="23.1" customHeight="1" x14ac:dyDescent="0.4">
      <c r="B39" s="209" t="s">
        <v>398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9"/>
      <c r="Q39" s="206">
        <f>mondial!C35/(mondial!$C35+mondial!$E35+mondial!$F35)</f>
        <v>0.32396635917274608</v>
      </c>
      <c r="R39" s="206">
        <f>mondial!E35/(mondial!$C35+mondial!$E35+mondial!$F35)</f>
        <v>3.0098333473783473E-4</v>
      </c>
      <c r="S39" s="206">
        <f>mondial!F35/(mondial!$C35+mondial!$E35+mondial!$F35)</f>
        <v>0.67573265749251621</v>
      </c>
      <c r="T39" s="238">
        <f t="shared" ref="T39" si="9">Q39+R39+S39</f>
        <v>1</v>
      </c>
      <c r="U39" s="145"/>
      <c r="V39" s="145"/>
      <c r="W39" s="145"/>
      <c r="X39" s="145"/>
    </row>
    <row r="40" spans="2:25" ht="23.1" customHeight="1" x14ac:dyDescent="0.4">
      <c r="B40" s="209" t="s">
        <v>395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9"/>
      <c r="Q40" s="206">
        <f>mondial!C36/(mondial!$C36+mondial!$E36+mondial!$F36)</f>
        <v>0.4440226358238879</v>
      </c>
      <c r="R40" s="206">
        <f>mondial!E36/(mondial!$C36+mondial!$E36+mondial!$F36)</f>
        <v>5.653549452755569E-3</v>
      </c>
      <c r="S40" s="206">
        <f>mondial!F36/(mondial!$C36+mondial!$E36+mondial!$F36)</f>
        <v>0.55032381472335656</v>
      </c>
      <c r="T40" s="238">
        <f t="shared" ref="T40" si="10">Q40+R40+S40</f>
        <v>1</v>
      </c>
      <c r="U40" s="145"/>
      <c r="V40" s="145"/>
      <c r="W40" s="145"/>
      <c r="X40" s="145"/>
    </row>
    <row r="41" spans="2:25" ht="23.1" customHeight="1" x14ac:dyDescent="0.4">
      <c r="B41" s="233" t="s">
        <v>399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68"/>
      <c r="Q41" s="264">
        <v>0.27500000000000002</v>
      </c>
      <c r="R41" s="264">
        <v>5.5E-2</v>
      </c>
      <c r="S41" s="264">
        <f>1-Q41-R41</f>
        <v>0.66999999999999993</v>
      </c>
      <c r="T41" s="265">
        <f t="shared" si="6"/>
        <v>1</v>
      </c>
      <c r="U41" s="145"/>
      <c r="V41" s="145"/>
      <c r="W41" s="145"/>
      <c r="X41" s="145"/>
      <c r="Y41" s="51"/>
    </row>
    <row r="42" spans="2:25" ht="23.1" customHeight="1" x14ac:dyDescent="0.4">
      <c r="B42" s="205" t="s">
        <v>401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242" t="s">
        <v>390</v>
      </c>
      <c r="R42" s="191" t="s">
        <v>370</v>
      </c>
      <c r="S42" s="192" t="s">
        <v>118</v>
      </c>
      <c r="T42" s="230" t="s">
        <v>132</v>
      </c>
      <c r="U42" s="145"/>
      <c r="V42" s="145"/>
      <c r="W42" s="145"/>
      <c r="X42" s="145"/>
      <c r="Y42" s="51"/>
    </row>
    <row r="43" spans="2:25" ht="23.1" customHeight="1" x14ac:dyDescent="0.4">
      <c r="B43" s="209" t="s">
        <v>368</v>
      </c>
      <c r="C43" s="210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243">
        <f>(Q5-E5)/($Q5-E5+$R5+$X5)</f>
        <v>8.8022114578251681E-2</v>
      </c>
      <c r="R43" s="206">
        <f>(R5)/($Q5-$E5+$R5+$X5)</f>
        <v>7.0633289962499277E-2</v>
      </c>
      <c r="S43" s="206">
        <f>(X5)/($Q5-$E5+$R5+$X5)</f>
        <v>0.841344595459249</v>
      </c>
      <c r="T43" s="231">
        <f>Q43+R43+S43</f>
        <v>1</v>
      </c>
      <c r="U43" s="145"/>
      <c r="V43" s="145"/>
      <c r="W43" s="145"/>
      <c r="X43" s="145"/>
      <c r="Y43" s="51"/>
    </row>
    <row r="44" spans="2:25" ht="23.1" customHeight="1" x14ac:dyDescent="0.4">
      <c r="B44" s="209" t="s">
        <v>369</v>
      </c>
      <c r="C44" s="210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243">
        <f>mondial!D20/(mondial!$D20+mondial!$E20+mondial!$F20)</f>
        <v>9.0385261842976711E-2</v>
      </c>
      <c r="R44" s="206">
        <f>mondial!E20/(mondial!$D20+mondial!$E20+mondial!$F20)</f>
        <v>7.0789701858470042E-2</v>
      </c>
      <c r="S44" s="206">
        <f>mondial!F20/(mondial!$D20+mondial!$E20+mondial!$F20)</f>
        <v>0.83882503629855332</v>
      </c>
      <c r="T44" s="231">
        <f t="shared" ref="T44:T53" si="11">Q44+R44+S44</f>
        <v>1</v>
      </c>
      <c r="U44" s="145"/>
      <c r="V44" s="145"/>
      <c r="W44" s="145"/>
      <c r="X44" s="145"/>
      <c r="Y44" s="51"/>
    </row>
    <row r="45" spans="2:25" ht="23.1" customHeight="1" x14ac:dyDescent="0.4">
      <c r="B45" s="211" t="s">
        <v>372</v>
      </c>
      <c r="C45" s="212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244">
        <f>mondial!D37/(mondial!$D37+mondial!$E37+mondial!$F37)</f>
        <v>0.20495245482309563</v>
      </c>
      <c r="R45" s="207">
        <f>mondial!E37/(mondial!$D37+mondial!$E37+mondial!$F37)</f>
        <v>3.5053624634904017E-2</v>
      </c>
      <c r="S45" s="207">
        <f>mondial!F37/(mondial!$D37+mondial!$E37+mondial!$F37)</f>
        <v>0.75999392054200043</v>
      </c>
      <c r="T45" s="232">
        <f t="shared" si="11"/>
        <v>1</v>
      </c>
      <c r="U45" s="145"/>
      <c r="V45" s="145"/>
      <c r="W45" s="145"/>
      <c r="X45" s="145"/>
      <c r="Y45" s="51"/>
    </row>
    <row r="46" spans="2:25" ht="23.1" customHeight="1" x14ac:dyDescent="0.4">
      <c r="B46" s="209" t="s">
        <v>375</v>
      </c>
      <c r="C46" s="210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243">
        <f>mondial!D19/(mondial!$D19+mondial!$E19+mondial!$F19)</f>
        <v>0.16061317256602423</v>
      </c>
      <c r="R46" s="206">
        <f>mondial!E19/(mondial!$D19+mondial!$E19+mondial!$F19)</f>
        <v>7.1776438050201966E-2</v>
      </c>
      <c r="S46" s="206">
        <f>mondial!F19/(mondial!$D19+mondial!$E19+mondial!$F19)</f>
        <v>0.76761038938377379</v>
      </c>
      <c r="T46" s="231">
        <f t="shared" si="11"/>
        <v>1</v>
      </c>
      <c r="U46" s="145"/>
      <c r="V46" s="145"/>
      <c r="W46" s="145"/>
      <c r="X46" s="145"/>
      <c r="Y46" s="51"/>
    </row>
    <row r="47" spans="2:25" ht="23.1" customHeight="1" x14ac:dyDescent="0.4">
      <c r="B47" s="209" t="s">
        <v>373</v>
      </c>
      <c r="C47" s="210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243">
        <f>mondial!D22/(mondial!$D22+mondial!$E22+mondial!$F22)</f>
        <v>0.11903612130577554</v>
      </c>
      <c r="R47" s="206">
        <f>mondial!E22/(mondial!$D22+mondial!$E22+mondial!$F22)</f>
        <v>6.0870865795291142E-2</v>
      </c>
      <c r="S47" s="206">
        <f>mondial!F22/(mondial!$D22+mondial!$E22+mondial!$F22)</f>
        <v>0.82009301289893322</v>
      </c>
      <c r="T47" s="231">
        <f t="shared" si="11"/>
        <v>0.99999999999999989</v>
      </c>
      <c r="U47" s="145"/>
      <c r="V47" s="145"/>
      <c r="W47" s="145"/>
      <c r="X47" s="145"/>
      <c r="Y47" s="51"/>
    </row>
    <row r="48" spans="2:25" ht="23.1" customHeight="1" x14ac:dyDescent="0.4">
      <c r="B48" s="209" t="s">
        <v>374</v>
      </c>
      <c r="C48" s="210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243">
        <f>mondial!D15/(mondial!$D15+mondial!$E15+mondial!$F15)</f>
        <v>0.31083896554475576</v>
      </c>
      <c r="R48" s="206">
        <f>mondial!E15/(mondial!$D15+mondial!$E15+mondial!$F15)</f>
        <v>1.6694199733436572E-2</v>
      </c>
      <c r="S48" s="206">
        <f>mondial!F15/(mondial!$D15+mondial!$E15+mondial!$F15)</f>
        <v>0.67246683472180768</v>
      </c>
      <c r="T48" s="231">
        <f t="shared" si="11"/>
        <v>1</v>
      </c>
      <c r="U48" s="145"/>
      <c r="V48" s="145"/>
      <c r="W48" s="145"/>
      <c r="X48" s="145"/>
      <c r="Y48" s="51"/>
    </row>
    <row r="49" spans="1:25" ht="23.1" customHeight="1" x14ac:dyDescent="0.4">
      <c r="B49" s="209" t="s">
        <v>389</v>
      </c>
      <c r="C49" s="210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243">
        <f>mondial!D27/(mondial!$D27+mondial!$E27+mondial!$F27)</f>
        <v>0.28145232170931284</v>
      </c>
      <c r="R49" s="206">
        <f>mondial!E27/(mondial!$D27+mondial!$E27+mondial!$F27)</f>
        <v>7.6750721085403744E-3</v>
      </c>
      <c r="S49" s="206">
        <f>mondial!F27/(mondial!$D27+mondial!$E27+mondial!$F27)</f>
        <v>0.71087260618214676</v>
      </c>
      <c r="T49" s="231">
        <f t="shared" ref="T49:T50" si="12">Q49+R49+S49</f>
        <v>1</v>
      </c>
      <c r="U49" s="145"/>
      <c r="V49" s="145"/>
      <c r="W49" s="145"/>
      <c r="X49" s="145"/>
      <c r="Y49" s="51"/>
    </row>
    <row r="50" spans="1:25" ht="23.1" customHeight="1" x14ac:dyDescent="0.4">
      <c r="B50" s="209" t="s">
        <v>388</v>
      </c>
      <c r="C50" s="210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243">
        <f>mondial!D12/(mondial!$D12+mondial!$E12+mondial!$F12)</f>
        <v>0.16571899515680685</v>
      </c>
      <c r="R50" s="206">
        <f>mondial!E12/(mondial!$D12+mondial!$E12+mondial!$F12)</f>
        <v>4.7684588349349291E-3</v>
      </c>
      <c r="S50" s="206">
        <f>mondial!F12/(mondial!$D12+mondial!$E12+mondial!$F12)</f>
        <v>0.82951254600825808</v>
      </c>
      <c r="T50" s="231">
        <f t="shared" si="12"/>
        <v>0.99999999999999989</v>
      </c>
      <c r="U50" s="145"/>
      <c r="V50" s="145"/>
      <c r="W50" s="145"/>
      <c r="X50" s="145"/>
      <c r="Y50" s="51"/>
    </row>
    <row r="51" spans="1:25" ht="23.1" customHeight="1" x14ac:dyDescent="0.4">
      <c r="B51" s="209" t="s">
        <v>398</v>
      </c>
      <c r="C51" s="210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243">
        <f>mondial!D35/(mondial!$D35+mondial!$E35+mondial!$F35)</f>
        <v>0.28475499485744871</v>
      </c>
      <c r="R51" s="206">
        <f>mondial!E35/(mondial!$D35+mondial!$E35+mondial!$F35)</f>
        <v>3.1844099731331903E-4</v>
      </c>
      <c r="S51" s="206">
        <f>mondial!F35/(mondial!$D35+mondial!$E35+mondial!$F35)</f>
        <v>0.71492656414523803</v>
      </c>
      <c r="T51" s="231">
        <f t="shared" ref="T51" si="13">Q51+R51+S51</f>
        <v>1</v>
      </c>
      <c r="U51" s="145"/>
      <c r="V51" s="145"/>
      <c r="W51" s="145"/>
      <c r="X51" s="145"/>
      <c r="Y51" s="51"/>
    </row>
    <row r="52" spans="1:25" ht="23.1" customHeight="1" x14ac:dyDescent="0.4">
      <c r="B52" s="209" t="s">
        <v>395</v>
      </c>
      <c r="C52" s="210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243">
        <f>mondial!D36/(mondial!$D36+mondial!$E36+mondial!$F36)</f>
        <v>0.20776886597111216</v>
      </c>
      <c r="R52" s="206">
        <f>mondial!E36/(mondial!$D36+mondial!$E36+mondial!$F36)</f>
        <v>8.0559356960190828E-3</v>
      </c>
      <c r="S52" s="206">
        <f>mondial!F36/(mondial!$D36+mondial!$E36+mondial!$F36)</f>
        <v>0.78417519833286864</v>
      </c>
      <c r="T52" s="231">
        <f t="shared" ref="T52" si="14">Q52+R52+S52</f>
        <v>0.99999999999999989</v>
      </c>
      <c r="U52" s="145"/>
      <c r="V52" s="145"/>
      <c r="W52" s="145"/>
      <c r="X52" s="145"/>
      <c r="Y52" s="51"/>
    </row>
    <row r="53" spans="1:25" ht="23.1" customHeight="1" x14ac:dyDescent="0.4">
      <c r="B53" s="233" t="s">
        <v>399</v>
      </c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245">
        <v>0.16</v>
      </c>
      <c r="R53" s="208">
        <v>0.06</v>
      </c>
      <c r="S53" s="208">
        <f>1-Q53-R53</f>
        <v>0.78</v>
      </c>
      <c r="T53" s="234">
        <f t="shared" si="11"/>
        <v>1</v>
      </c>
      <c r="U53" s="145"/>
      <c r="V53" s="145"/>
      <c r="W53" s="145"/>
      <c r="X53" s="145"/>
      <c r="Y53" s="51"/>
    </row>
    <row r="54" spans="1:25" ht="21.95" customHeight="1" x14ac:dyDescent="0.3">
      <c r="B54" s="219" t="s">
        <v>404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3"/>
      <c r="R54" s="143"/>
      <c r="S54" s="143"/>
      <c r="T54"/>
      <c r="U54"/>
      <c r="V54"/>
      <c r="W54"/>
      <c r="X54"/>
      <c r="Y54" s="51"/>
    </row>
    <row r="55" spans="1:25" x14ac:dyDescent="0.25">
      <c r="A55" s="34"/>
      <c r="U55" s="51"/>
      <c r="V55" s="51"/>
      <c r="W55" s="51"/>
      <c r="Y55" s="51"/>
    </row>
    <row r="56" spans="1:25" x14ac:dyDescent="0.25">
      <c r="A56" s="34"/>
      <c r="Y56" s="51"/>
    </row>
    <row r="57" spans="1:25" x14ac:dyDescent="0.25">
      <c r="A57" s="34"/>
      <c r="S57" s="165"/>
      <c r="T57" s="165"/>
      <c r="U57" s="165"/>
      <c r="Y57" s="51"/>
    </row>
    <row r="58" spans="1:25" x14ac:dyDescent="0.25">
      <c r="A58" s="34"/>
      <c r="S58" s="165"/>
      <c r="T58" s="165"/>
      <c r="U58" s="165"/>
      <c r="Y58" s="51"/>
    </row>
    <row r="59" spans="1:25" ht="24.95" customHeight="1" x14ac:dyDescent="0.35">
      <c r="B59" s="144" t="s">
        <v>396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182">
        <f>mondial!C39/(mondial!$C39+mondial!$E39+mondial!$F39)</f>
        <v>0.17395738611466882</v>
      </c>
      <c r="R59" s="182">
        <f>mondial!E39/(mondial!$C39+mondial!$E39+mondial!$F39)</f>
        <v>0</v>
      </c>
      <c r="S59" s="182">
        <f>mondial!F39/(mondial!$C39+mondial!$E39+mondial!$F39)</f>
        <v>0.82604261388533118</v>
      </c>
      <c r="T59" s="183">
        <f t="shared" ref="T59" si="15">Q59+R59+S59</f>
        <v>1</v>
      </c>
      <c r="U59" s="145"/>
      <c r="V59" s="145"/>
      <c r="W59" s="145"/>
      <c r="X59" s="146"/>
      <c r="Y59" s="51"/>
    </row>
    <row r="60" spans="1:25" x14ac:dyDescent="0.25">
      <c r="A60" s="34"/>
      <c r="Y60" s="51"/>
    </row>
    <row r="62" spans="1:25" x14ac:dyDescent="0.25">
      <c r="B62" s="34" t="s">
        <v>391</v>
      </c>
      <c r="C62" s="34">
        <v>37.933</v>
      </c>
      <c r="Y62" s="51"/>
    </row>
    <row r="63" spans="1:25" x14ac:dyDescent="0.25">
      <c r="Y63" s="51"/>
    </row>
  </sheetData>
  <mergeCells count="1">
    <mergeCell ref="B2:Q2"/>
  </mergeCells>
  <pageMargins left="0" right="0" top="0" bottom="0" header="0.511811023622047" footer="0.511811023622047"/>
  <pageSetup paperSize="9" scale="50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9"/>
  <sheetViews>
    <sheetView workbookViewId="0">
      <selection activeCell="A8" sqref="A8"/>
    </sheetView>
  </sheetViews>
  <sheetFormatPr baseColWidth="10" defaultRowHeight="12.75" x14ac:dyDescent="0.2"/>
  <cols>
    <col min="1" max="1" width="50.28515625" customWidth="1"/>
  </cols>
  <sheetData>
    <row r="1" spans="1:17" x14ac:dyDescent="0.2">
      <c r="A1" s="66" t="s">
        <v>129</v>
      </c>
      <c r="B1" s="67"/>
      <c r="C1" s="67"/>
      <c r="D1" s="68"/>
      <c r="E1" s="69"/>
      <c r="F1" s="69"/>
      <c r="G1" s="69"/>
      <c r="H1" s="69"/>
      <c r="I1" s="70"/>
      <c r="J1" s="70"/>
      <c r="K1" s="70"/>
      <c r="L1" s="70"/>
      <c r="M1" s="70"/>
      <c r="N1" s="70"/>
      <c r="O1" s="71"/>
      <c r="P1" s="71"/>
      <c r="Q1" s="71"/>
    </row>
    <row r="2" spans="1:17" x14ac:dyDescent="0.2">
      <c r="A2" s="66"/>
      <c r="B2" s="67"/>
      <c r="C2" s="67"/>
      <c r="D2" s="68"/>
      <c r="E2" s="69"/>
      <c r="F2" s="69"/>
      <c r="G2" s="69"/>
      <c r="H2" s="69"/>
      <c r="I2" s="70"/>
      <c r="J2" s="70"/>
      <c r="K2" s="70"/>
      <c r="L2" s="70"/>
      <c r="M2" s="70"/>
      <c r="N2" s="70"/>
      <c r="O2" s="71"/>
      <c r="P2" s="71"/>
      <c r="Q2" s="71"/>
    </row>
    <row r="3" spans="1:17" ht="13.5" thickBot="1" x14ac:dyDescent="0.25">
      <c r="A3" s="66"/>
      <c r="B3" s="67"/>
      <c r="C3" s="67"/>
      <c r="D3" s="68"/>
      <c r="E3" s="69"/>
      <c r="F3" s="69"/>
      <c r="G3" s="69"/>
      <c r="H3" s="69"/>
      <c r="I3" s="70"/>
      <c r="J3" s="70"/>
      <c r="K3" s="70"/>
      <c r="L3" s="70"/>
      <c r="M3" s="70"/>
      <c r="N3" s="70"/>
      <c r="O3" s="71"/>
      <c r="P3" s="71"/>
      <c r="Q3" s="71"/>
    </row>
    <row r="4" spans="1:17" x14ac:dyDescent="0.2">
      <c r="A4" s="72"/>
      <c r="B4" s="73" t="s">
        <v>130</v>
      </c>
      <c r="C4" s="74"/>
      <c r="D4" s="75"/>
      <c r="E4" s="74"/>
      <c r="F4" s="74"/>
      <c r="G4" s="74"/>
      <c r="H4" s="74"/>
      <c r="I4" s="75"/>
      <c r="J4" s="75"/>
      <c r="K4" s="76" t="s">
        <v>131</v>
      </c>
      <c r="L4" s="76" t="s">
        <v>132</v>
      </c>
      <c r="M4" s="77" t="s">
        <v>133</v>
      </c>
      <c r="N4" s="1010" t="s">
        <v>90</v>
      </c>
      <c r="O4" s="71"/>
    </row>
    <row r="5" spans="1:17" x14ac:dyDescent="0.2">
      <c r="A5" s="78" t="s">
        <v>134</v>
      </c>
      <c r="B5" s="79" t="s">
        <v>135</v>
      </c>
      <c r="C5" s="79"/>
      <c r="D5" s="80"/>
      <c r="E5" s="79" t="s">
        <v>136</v>
      </c>
      <c r="F5" s="79"/>
      <c r="G5" s="79"/>
      <c r="H5" s="79"/>
      <c r="I5" s="80"/>
      <c r="J5" s="81"/>
      <c r="K5" s="150"/>
      <c r="L5" s="82" t="s">
        <v>137</v>
      </c>
      <c r="M5" s="82" t="s">
        <v>138</v>
      </c>
      <c r="N5" s="1011"/>
      <c r="O5" s="71"/>
    </row>
    <row r="6" spans="1:17" ht="33.75" x14ac:dyDescent="0.2">
      <c r="A6" s="83"/>
      <c r="B6" s="84" t="s">
        <v>139</v>
      </c>
      <c r="C6" s="85" t="s">
        <v>140</v>
      </c>
      <c r="D6" s="155" t="s">
        <v>141</v>
      </c>
      <c r="E6" s="87" t="s">
        <v>142</v>
      </c>
      <c r="F6" s="87" t="s">
        <v>143</v>
      </c>
      <c r="G6" s="87" t="s">
        <v>144</v>
      </c>
      <c r="H6" s="85" t="s">
        <v>145</v>
      </c>
      <c r="I6" s="86" t="s">
        <v>146</v>
      </c>
      <c r="J6" s="88" t="s">
        <v>141</v>
      </c>
      <c r="K6" s="151"/>
      <c r="L6" s="89" t="s">
        <v>147</v>
      </c>
      <c r="M6" s="89" t="s">
        <v>148</v>
      </c>
      <c r="N6" s="1012"/>
      <c r="O6" s="71"/>
    </row>
    <row r="7" spans="1:17" x14ac:dyDescent="0.2">
      <c r="A7" s="90" t="s">
        <v>149</v>
      </c>
      <c r="B7" s="91">
        <v>35538.765851332071</v>
      </c>
      <c r="C7" s="91">
        <v>1469.6568037992176</v>
      </c>
      <c r="D7" s="156">
        <v>37008.42265513129</v>
      </c>
      <c r="E7" s="91">
        <v>13366.529199726128</v>
      </c>
      <c r="F7" s="91">
        <v>9694.7202235199002</v>
      </c>
      <c r="G7" s="91">
        <v>715.54500211369361</v>
      </c>
      <c r="H7" s="91">
        <v>8317.3361208935876</v>
      </c>
      <c r="I7" s="92">
        <v>32094.130546253313</v>
      </c>
      <c r="J7" s="91">
        <v>69102.55320138461</v>
      </c>
      <c r="K7" s="152">
        <v>3503.2322893744467</v>
      </c>
      <c r="L7" s="93">
        <v>72605.785490759052</v>
      </c>
      <c r="M7" s="93"/>
      <c r="N7" s="93">
        <v>72605.785490759052</v>
      </c>
      <c r="O7" s="71"/>
    </row>
    <row r="8" spans="1:17" x14ac:dyDescent="0.2">
      <c r="A8" s="90" t="s">
        <v>150</v>
      </c>
      <c r="B8" s="94">
        <v>26995.332448061527</v>
      </c>
      <c r="C8" s="94">
        <v>1132.6195415442503</v>
      </c>
      <c r="D8" s="157">
        <v>28127.951989605775</v>
      </c>
      <c r="E8" s="94">
        <v>10135.533696924767</v>
      </c>
      <c r="F8" s="94">
        <v>8728.7989944831279</v>
      </c>
      <c r="G8" s="94">
        <v>579.62403451215027</v>
      </c>
      <c r="H8" s="94">
        <v>6818.3776150979211</v>
      </c>
      <c r="I8" s="95">
        <v>26262.334341017966</v>
      </c>
      <c r="J8" s="91">
        <v>54390.286330623741</v>
      </c>
      <c r="K8" s="153">
        <v>2713.2453665713033</v>
      </c>
      <c r="L8" s="93">
        <v>57103.531697195045</v>
      </c>
      <c r="M8" s="96"/>
      <c r="N8" s="93">
        <v>57103.531697195045</v>
      </c>
      <c r="O8" s="71"/>
    </row>
    <row r="9" spans="1:17" x14ac:dyDescent="0.2">
      <c r="A9" s="90" t="s">
        <v>151</v>
      </c>
      <c r="B9" s="94">
        <v>8016.8172944126018</v>
      </c>
      <c r="C9" s="94">
        <v>323.63315758758648</v>
      </c>
      <c r="D9" s="157">
        <v>8340.4504520001883</v>
      </c>
      <c r="E9" s="94">
        <v>2932.3045083447009</v>
      </c>
      <c r="F9" s="94">
        <v>936.02543422862584</v>
      </c>
      <c r="G9" s="94">
        <v>130.4677405134592</v>
      </c>
      <c r="H9" s="94">
        <v>1413.7643496153928</v>
      </c>
      <c r="I9" s="95">
        <v>5412.5620327021788</v>
      </c>
      <c r="J9" s="91">
        <v>13753.012484702367</v>
      </c>
      <c r="K9" s="153">
        <v>730.46877734998895</v>
      </c>
      <c r="L9" s="93">
        <v>14483.481262052355</v>
      </c>
      <c r="M9" s="96"/>
      <c r="N9" s="93">
        <v>14483.481262052355</v>
      </c>
      <c r="O9" s="71"/>
    </row>
    <row r="10" spans="1:17" x14ac:dyDescent="0.2">
      <c r="A10" s="90" t="s">
        <v>152</v>
      </c>
      <c r="B10" s="94">
        <v>389.01980935585891</v>
      </c>
      <c r="C10" s="94">
        <v>9.6153419356202079</v>
      </c>
      <c r="D10" s="157">
        <v>398.63515129147913</v>
      </c>
      <c r="E10" s="94">
        <v>211.62183004319297</v>
      </c>
      <c r="F10" s="94">
        <v>23.62155268361278</v>
      </c>
      <c r="G10" s="94">
        <v>4.5522187095536379</v>
      </c>
      <c r="H10" s="94">
        <v>66.097154764963037</v>
      </c>
      <c r="I10" s="95">
        <v>305.89275620132241</v>
      </c>
      <c r="J10" s="91">
        <v>704.52790749280155</v>
      </c>
      <c r="K10" s="153">
        <v>45.287195164286281</v>
      </c>
      <c r="L10" s="93">
        <v>749.81510265708778</v>
      </c>
      <c r="M10" s="96"/>
      <c r="N10" s="93">
        <v>749.81510265708778</v>
      </c>
      <c r="O10" s="71"/>
    </row>
    <row r="11" spans="1:17" x14ac:dyDescent="0.2">
      <c r="A11" s="90" t="s">
        <v>153</v>
      </c>
      <c r="B11" s="94">
        <v>137.59629950208881</v>
      </c>
      <c r="C11" s="94">
        <v>3.7887627317607286</v>
      </c>
      <c r="D11" s="157">
        <v>141.38506223384954</v>
      </c>
      <c r="E11" s="94">
        <v>87.069164413465529</v>
      </c>
      <c r="F11" s="94">
        <v>6.2742421245326661</v>
      </c>
      <c r="G11" s="94">
        <v>0.90100837853056315</v>
      </c>
      <c r="H11" s="94">
        <v>19.097001415311436</v>
      </c>
      <c r="I11" s="95">
        <v>113.34141633184019</v>
      </c>
      <c r="J11" s="91">
        <v>254.72647856568972</v>
      </c>
      <c r="K11" s="153">
        <v>14.230950288867767</v>
      </c>
      <c r="L11" s="93">
        <v>268.95742885455746</v>
      </c>
      <c r="M11" s="96"/>
      <c r="N11" s="93">
        <v>268.95742885455746</v>
      </c>
      <c r="O11" s="71"/>
    </row>
    <row r="12" spans="1:17" x14ac:dyDescent="0.2">
      <c r="A12" s="97" t="s">
        <v>154</v>
      </c>
      <c r="B12" s="98">
        <v>17213.304616012694</v>
      </c>
      <c r="C12" s="98">
        <v>24728.651559059945</v>
      </c>
      <c r="D12" s="158">
        <v>41941.956175072643</v>
      </c>
      <c r="E12" s="98">
        <v>6875.6705057152549</v>
      </c>
      <c r="F12" s="98">
        <v>4387.1923109224945</v>
      </c>
      <c r="G12" s="98">
        <v>393.71462682638565</v>
      </c>
      <c r="H12" s="98">
        <v>115.15158103699397</v>
      </c>
      <c r="I12" s="99">
        <v>11771.72902450113</v>
      </c>
      <c r="J12" s="98">
        <v>53713.685199573774</v>
      </c>
      <c r="K12" s="154">
        <v>2986.9811853734664</v>
      </c>
      <c r="L12" s="100">
        <v>56700.666384947239</v>
      </c>
      <c r="M12" s="101"/>
      <c r="N12" s="100">
        <v>56700.666384947239</v>
      </c>
      <c r="O12" s="71"/>
    </row>
    <row r="13" spans="1:17" x14ac:dyDescent="0.2">
      <c r="A13" s="102" t="s">
        <v>155</v>
      </c>
      <c r="B13" s="91">
        <v>187682.8157542322</v>
      </c>
      <c r="C13" s="91">
        <v>62063.851739800222</v>
      </c>
      <c r="D13" s="159">
        <v>249746.66749403242</v>
      </c>
      <c r="E13" s="91">
        <v>21829.576324597419</v>
      </c>
      <c r="F13" s="91">
        <v>526.58988792007312</v>
      </c>
      <c r="G13" s="91">
        <v>1311.6042609691513</v>
      </c>
      <c r="H13" s="91">
        <v>1740.0830403782948</v>
      </c>
      <c r="I13" s="95">
        <v>25407.853513864939</v>
      </c>
      <c r="J13" s="91">
        <v>275154.52100789733</v>
      </c>
      <c r="K13" s="152">
        <v>16020.179080354161</v>
      </c>
      <c r="L13" s="93">
        <v>291174.7000882515</v>
      </c>
      <c r="M13" s="93"/>
      <c r="N13" s="93">
        <v>291174.7000882515</v>
      </c>
      <c r="O13" s="71"/>
    </row>
    <row r="14" spans="1:17" x14ac:dyDescent="0.2">
      <c r="A14" s="90" t="s">
        <v>156</v>
      </c>
      <c r="B14" s="94">
        <v>123454.2111573143</v>
      </c>
      <c r="C14" s="94">
        <v>41151.403719104768</v>
      </c>
      <c r="D14" s="157">
        <v>164605.61487641907</v>
      </c>
      <c r="E14" s="94">
        <v>15363.567695610809</v>
      </c>
      <c r="F14" s="94">
        <v>391.27810735417142</v>
      </c>
      <c r="G14" s="94">
        <v>877.07768698190216</v>
      </c>
      <c r="H14" s="94">
        <v>1176.2585427583654</v>
      </c>
      <c r="I14" s="95">
        <v>17808.182032705248</v>
      </c>
      <c r="J14" s="91">
        <v>182413.79690912433</v>
      </c>
      <c r="K14" s="153">
        <v>11577.808191668433</v>
      </c>
      <c r="L14" s="93">
        <v>193991.60510079277</v>
      </c>
      <c r="M14" s="96"/>
      <c r="N14" s="93">
        <v>193991.60510079277</v>
      </c>
      <c r="O14" s="71"/>
    </row>
    <row r="15" spans="1:17" x14ac:dyDescent="0.2">
      <c r="A15" s="90" t="s">
        <v>157</v>
      </c>
      <c r="B15" s="94">
        <v>50424.959486790343</v>
      </c>
      <c r="C15" s="94">
        <v>16808.319828930114</v>
      </c>
      <c r="D15" s="157">
        <v>67233.279315720458</v>
      </c>
      <c r="E15" s="94">
        <v>4851.6529565086767</v>
      </c>
      <c r="F15" s="94">
        <v>123.56150758552781</v>
      </c>
      <c r="G15" s="94">
        <v>276.97190115217967</v>
      </c>
      <c r="H15" s="94">
        <v>371.45006613422061</v>
      </c>
      <c r="I15" s="95">
        <v>5623.6364313806043</v>
      </c>
      <c r="J15" s="91">
        <v>72856.915747101069</v>
      </c>
      <c r="K15" s="153">
        <v>3265.5356438039171</v>
      </c>
      <c r="L15" s="93">
        <v>76122.451390904986</v>
      </c>
      <c r="M15" s="96"/>
      <c r="N15" s="93">
        <v>76122.451390904986</v>
      </c>
      <c r="O15" s="71"/>
    </row>
    <row r="16" spans="1:17" x14ac:dyDescent="0.2">
      <c r="A16" s="103" t="s">
        <v>158</v>
      </c>
      <c r="B16" s="94">
        <v>3477.7501655295227</v>
      </c>
      <c r="C16" s="94">
        <v>755.17854513682698</v>
      </c>
      <c r="D16" s="157">
        <v>4232.9287106663496</v>
      </c>
      <c r="E16" s="94">
        <v>404.90338946060223</v>
      </c>
      <c r="F16" s="94">
        <v>11.750272980373945</v>
      </c>
      <c r="G16" s="94">
        <v>17.415534973340883</v>
      </c>
      <c r="H16" s="94">
        <v>4.4322907480073148</v>
      </c>
      <c r="I16" s="95">
        <v>438.50148816232434</v>
      </c>
      <c r="J16" s="91">
        <v>4671.4301988286743</v>
      </c>
      <c r="K16" s="153">
        <v>292.53022584758537</v>
      </c>
      <c r="L16" s="93">
        <v>4963.9604246762592</v>
      </c>
      <c r="M16" s="96"/>
      <c r="N16" s="93">
        <v>4963.9604246762592</v>
      </c>
      <c r="O16" s="71"/>
    </row>
    <row r="17" spans="1:15" x14ac:dyDescent="0.2">
      <c r="A17" s="90" t="s">
        <v>159</v>
      </c>
      <c r="B17" s="94">
        <v>10325.89494459802</v>
      </c>
      <c r="C17" s="94">
        <v>3348.9496466285141</v>
      </c>
      <c r="D17" s="157">
        <v>13674.844591226534</v>
      </c>
      <c r="E17" s="94">
        <v>1209.4522830173307</v>
      </c>
      <c r="F17" s="94">
        <v>0</v>
      </c>
      <c r="G17" s="94">
        <v>140.1391378617285</v>
      </c>
      <c r="H17" s="94">
        <v>187.94214073770155</v>
      </c>
      <c r="I17" s="95">
        <v>1537.5335616167606</v>
      </c>
      <c r="J17" s="91">
        <v>15212.378152843296</v>
      </c>
      <c r="K17" s="153">
        <v>884.30501903422453</v>
      </c>
      <c r="L17" s="93">
        <v>16096.683171877519</v>
      </c>
      <c r="M17" s="96"/>
      <c r="N17" s="93">
        <v>16096.683171877519</v>
      </c>
      <c r="O17" s="71"/>
    </row>
    <row r="18" spans="1:15" ht="13.5" thickBot="1" x14ac:dyDescent="0.25">
      <c r="A18" s="104" t="s">
        <v>160</v>
      </c>
      <c r="B18" s="105">
        <v>240434.88622157698</v>
      </c>
      <c r="C18" s="105">
        <v>88262.160102659371</v>
      </c>
      <c r="D18" s="160">
        <v>328697.04632423632</v>
      </c>
      <c r="E18" s="105">
        <v>42071.776030038804</v>
      </c>
      <c r="F18" s="105">
        <v>14608.502422362468</v>
      </c>
      <c r="G18" s="105">
        <v>2420.8638899092307</v>
      </c>
      <c r="H18" s="105">
        <v>10172.570742308877</v>
      </c>
      <c r="I18" s="106">
        <v>69273.713084619376</v>
      </c>
      <c r="J18" s="105">
        <v>397970.75940885569</v>
      </c>
      <c r="K18" s="107">
        <v>22510.392555102073</v>
      </c>
      <c r="L18" s="107">
        <v>420481.15196395782</v>
      </c>
      <c r="M18" s="107"/>
      <c r="N18" s="107">
        <v>420481.15196395782</v>
      </c>
      <c r="O18" s="71"/>
    </row>
    <row r="19" spans="1:15" s="71" customFormat="1" x14ac:dyDescent="0.2">
      <c r="A19" s="108" t="s">
        <v>161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5" s="71" customFormat="1" x14ac:dyDescent="0.2">
      <c r="A20" s="109" t="s">
        <v>162</v>
      </c>
      <c r="D20" s="110">
        <f>D7+D12</f>
        <v>78950.378830203932</v>
      </c>
      <c r="E20" s="110">
        <f>E7+E12+F7+F12</f>
        <v>34324.112239883776</v>
      </c>
      <c r="I20" s="110">
        <f>I7+I12</f>
        <v>43865.859570754445</v>
      </c>
    </row>
    <row r="21" spans="1:15" s="71" customFormat="1" x14ac:dyDescent="0.2">
      <c r="A21" s="162" t="s">
        <v>377</v>
      </c>
      <c r="B21" s="161">
        <f>D21+K21</f>
        <v>84841.053945973355</v>
      </c>
      <c r="D21" s="110">
        <f>D8+D9+D12</f>
        <v>78410.358616678597</v>
      </c>
      <c r="I21" s="110">
        <f>I8+I9+I12</f>
        <v>43446.625398221273</v>
      </c>
      <c r="K21" s="110">
        <f>K8+K9+K12</f>
        <v>6430.6953292947583</v>
      </c>
      <c r="N21" s="110">
        <f>N8+N9+N12</f>
        <v>128287.67934419464</v>
      </c>
    </row>
    <row r="22" spans="1:15" ht="15" x14ac:dyDescent="0.25">
      <c r="A22" s="111" t="s">
        <v>163</v>
      </c>
      <c r="B22" s="161">
        <f>(D8+D9+K8+K9)</f>
        <v>39912.116585527256</v>
      </c>
      <c r="C22" s="163">
        <f>B22/B21</f>
        <v>0.47043400251655554</v>
      </c>
      <c r="D22">
        <f>(D8+D9)/D21</f>
        <v>0.46509674340207391</v>
      </c>
      <c r="I22">
        <f>(I8+I9)/I21</f>
        <v>0.72905308717065354</v>
      </c>
      <c r="K22">
        <f>(K8+K9)/K21</f>
        <v>0.53551194195650964</v>
      </c>
      <c r="O22" s="71"/>
    </row>
    <row r="23" spans="1:15" x14ac:dyDescent="0.2">
      <c r="B23" s="161">
        <f>D12+K12</f>
        <v>44928.937360446107</v>
      </c>
      <c r="C23" s="163">
        <f>1-C22</f>
        <v>0.52956599748344446</v>
      </c>
      <c r="D23">
        <f>1-D22</f>
        <v>0.53490325659792615</v>
      </c>
      <c r="I23">
        <f>1-I22</f>
        <v>0.27094691282934646</v>
      </c>
      <c r="K23">
        <f>1-K22</f>
        <v>0.46448805804349036</v>
      </c>
      <c r="O23" s="71"/>
    </row>
    <row r="24" spans="1:15" x14ac:dyDescent="0.2">
      <c r="O24" s="71"/>
    </row>
    <row r="25" spans="1:15" x14ac:dyDescent="0.2">
      <c r="O25" s="71"/>
    </row>
    <row r="26" spans="1:15" x14ac:dyDescent="0.2">
      <c r="I26" s="110">
        <f>D20+I20</f>
        <v>122816.23840095838</v>
      </c>
      <c r="O26" s="71"/>
    </row>
    <row r="27" spans="1:15" x14ac:dyDescent="0.2">
      <c r="O27" s="71"/>
    </row>
    <row r="28" spans="1:15" x14ac:dyDescent="0.2">
      <c r="I28">
        <f>I7/(I7+I12)</f>
        <v>0.73164257717294578</v>
      </c>
      <c r="M28">
        <f>(N8)/N12</f>
        <v>1.0071051248236256</v>
      </c>
    </row>
    <row r="29" spans="1:15" x14ac:dyDescent="0.2">
      <c r="D29">
        <f>(N8)/(N12+N9)</f>
        <v>0.80219449954461808</v>
      </c>
      <c r="F29">
        <f>L8/(L8+L12)</f>
        <v>0.50176999319461413</v>
      </c>
    </row>
  </sheetData>
  <mergeCells count="1">
    <mergeCell ref="N4:N6"/>
  </mergeCells>
  <hyperlinks>
    <hyperlink ref="A22" location="Sommaire!A1" display="Sommair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3:L39"/>
  <sheetViews>
    <sheetView topLeftCell="A17" workbookViewId="0">
      <selection activeCell="I37" sqref="I37"/>
    </sheetView>
  </sheetViews>
  <sheetFormatPr baseColWidth="10" defaultRowHeight="12.75" x14ac:dyDescent="0.2"/>
  <cols>
    <col min="3" max="3" width="26.28515625" customWidth="1"/>
  </cols>
  <sheetData>
    <row r="33" spans="2:12" ht="18" x14ac:dyDescent="0.25">
      <c r="B33" s="40" t="s">
        <v>371</v>
      </c>
      <c r="C33" s="40" t="s">
        <v>124</v>
      </c>
      <c r="D33" s="147">
        <v>37.933</v>
      </c>
      <c r="G33">
        <f>D33/(D34+D33)</f>
        <v>0.46869632906231085</v>
      </c>
    </row>
    <row r="34" spans="2:12" ht="18" x14ac:dyDescent="0.25">
      <c r="B34" s="40">
        <v>2021</v>
      </c>
      <c r="C34" s="40" t="s">
        <v>127</v>
      </c>
      <c r="D34" s="147">
        <f>D38-D37-D36-D33</f>
        <v>42.999999999999993</v>
      </c>
      <c r="L34">
        <f>1409+1132+6884+7067+2469+7743</f>
        <v>26704</v>
      </c>
    </row>
    <row r="35" spans="2:12" ht="18" x14ac:dyDescent="0.25">
      <c r="B35" s="40"/>
      <c r="C35" s="40"/>
      <c r="D35" s="147"/>
    </row>
    <row r="36" spans="2:12" ht="18" x14ac:dyDescent="0.25">
      <c r="B36" s="40"/>
      <c r="C36" s="40" t="s">
        <v>376</v>
      </c>
      <c r="D36" s="147">
        <v>26.704000000000001</v>
      </c>
    </row>
    <row r="37" spans="2:12" ht="18" x14ac:dyDescent="0.25">
      <c r="B37" s="40"/>
      <c r="C37" s="40" t="s">
        <v>128</v>
      </c>
      <c r="D37" s="147">
        <v>34.700000000000003</v>
      </c>
      <c r="I37">
        <f>D36/D37</f>
        <v>0.76956772334293944</v>
      </c>
    </row>
    <row r="38" spans="2:12" ht="18" x14ac:dyDescent="0.25">
      <c r="B38" s="40"/>
      <c r="C38" s="148" t="s">
        <v>126</v>
      </c>
      <c r="D38" s="149">
        <v>142.33699999999999</v>
      </c>
    </row>
    <row r="39" spans="2:12" ht="18" x14ac:dyDescent="0.25">
      <c r="B39" s="40"/>
      <c r="C39" s="40" t="s">
        <v>125</v>
      </c>
      <c r="D39" s="147">
        <v>77.7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4BCE-49C2-457F-B82C-A2F78BE373E7}">
  <dimension ref="K16:L17"/>
  <sheetViews>
    <sheetView topLeftCell="A5" workbookViewId="0">
      <selection activeCell="L18" sqref="L18"/>
    </sheetView>
  </sheetViews>
  <sheetFormatPr baseColWidth="10" defaultRowHeight="12.75" x14ac:dyDescent="0.2"/>
  <sheetData>
    <row r="16" spans="11:12" x14ac:dyDescent="0.2">
      <c r="K16" t="s">
        <v>1086</v>
      </c>
      <c r="L16">
        <v>32</v>
      </c>
    </row>
    <row r="17" spans="11:12" x14ac:dyDescent="0.2">
      <c r="K17" t="s">
        <v>1087</v>
      </c>
      <c r="L17">
        <v>37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7"/>
  <sheetViews>
    <sheetView topLeftCell="A8" workbookViewId="0">
      <selection activeCell="J14" sqref="J14"/>
    </sheetView>
  </sheetViews>
  <sheetFormatPr baseColWidth="10" defaultColWidth="10" defaultRowHeight="12.75" x14ac:dyDescent="0.2"/>
  <cols>
    <col min="2" max="2" width="12" customWidth="1"/>
    <col min="3" max="4" width="11.7109375" customWidth="1"/>
    <col min="5" max="5" width="12.28515625" customWidth="1"/>
    <col min="6" max="6" width="12.140625" customWidth="1"/>
    <col min="7" max="7" width="13.7109375" customWidth="1"/>
    <col min="8" max="8" width="12.28515625" customWidth="1"/>
  </cols>
  <sheetData>
    <row r="1" spans="1:12" x14ac:dyDescent="0.2">
      <c r="A1" s="113" t="s">
        <v>164</v>
      </c>
    </row>
    <row r="3" spans="1:12" x14ac:dyDescent="0.2">
      <c r="A3" s="113" t="s">
        <v>165</v>
      </c>
      <c r="B3" s="114">
        <v>44742.493425925924</v>
      </c>
    </row>
    <row r="4" spans="1:12" x14ac:dyDescent="0.2">
      <c r="A4" s="113" t="s">
        <v>166</v>
      </c>
      <c r="B4" s="114">
        <v>44776.47042805556</v>
      </c>
    </row>
    <row r="5" spans="1:12" x14ac:dyDescent="0.2">
      <c r="A5" s="113" t="s">
        <v>167</v>
      </c>
      <c r="B5" s="113" t="s">
        <v>168</v>
      </c>
    </row>
    <row r="6" spans="1:12" x14ac:dyDescent="0.2">
      <c r="B6">
        <v>2017</v>
      </c>
    </row>
    <row r="7" spans="1:12" x14ac:dyDescent="0.2">
      <c r="A7" s="113" t="s">
        <v>169</v>
      </c>
      <c r="B7" s="113" t="s">
        <v>170</v>
      </c>
    </row>
    <row r="8" spans="1:12" x14ac:dyDescent="0.2">
      <c r="A8" s="113" t="s">
        <v>171</v>
      </c>
      <c r="B8" s="113" t="s">
        <v>132</v>
      </c>
    </row>
    <row r="9" spans="1:12" x14ac:dyDescent="0.2">
      <c r="A9" s="113" t="s">
        <v>172</v>
      </c>
      <c r="B9" s="113" t="s">
        <v>173</v>
      </c>
    </row>
    <row r="11" spans="1:12" x14ac:dyDescent="0.2">
      <c r="A11" s="115" t="s">
        <v>174</v>
      </c>
      <c r="B11" s="115" t="s">
        <v>175</v>
      </c>
      <c r="C11" s="115" t="s">
        <v>132</v>
      </c>
      <c r="D11" s="115"/>
      <c r="E11" s="115" t="s">
        <v>93</v>
      </c>
      <c r="F11" s="115" t="s">
        <v>176</v>
      </c>
      <c r="G11" s="116" t="s">
        <v>126</v>
      </c>
      <c r="H11" s="116" t="s">
        <v>177</v>
      </c>
      <c r="J11" s="117" t="s">
        <v>178</v>
      </c>
      <c r="L11" s="118" t="s">
        <v>179</v>
      </c>
    </row>
    <row r="12" spans="1:12" x14ac:dyDescent="0.2">
      <c r="A12" s="115" t="s">
        <v>180</v>
      </c>
      <c r="B12" s="119">
        <v>24827.9</v>
      </c>
      <c r="C12" s="119">
        <v>32810.699999999997</v>
      </c>
      <c r="D12" s="119">
        <f>C12-B12</f>
        <v>7982.7999999999956</v>
      </c>
      <c r="E12" s="119">
        <v>229.7</v>
      </c>
      <c r="F12" s="119">
        <v>39958.199999999997</v>
      </c>
      <c r="G12" s="120">
        <f>SUM(C12:F12)</f>
        <v>80981.399999999994</v>
      </c>
      <c r="H12" s="120">
        <f>C12-B12+E12+F12</f>
        <v>48170.7</v>
      </c>
      <c r="I12" s="115" t="s">
        <v>180</v>
      </c>
      <c r="J12">
        <f t="shared" ref="J12:J20" si="0">F12/H12</f>
        <v>0.82951254600825808</v>
      </c>
      <c r="K12" s="115" t="s">
        <v>180</v>
      </c>
      <c r="L12">
        <f>B12/C12</f>
        <v>0.75670131999622081</v>
      </c>
    </row>
    <row r="13" spans="1:12" x14ac:dyDescent="0.2">
      <c r="A13" s="115" t="s">
        <v>181</v>
      </c>
      <c r="B13" s="121">
        <v>9000.02</v>
      </c>
      <c r="C13" s="121">
        <v>16516.63</v>
      </c>
      <c r="D13" s="119">
        <f t="shared" ref="D13:D38" si="1">C13-B13</f>
        <v>7516.6100000000006</v>
      </c>
      <c r="E13" s="121">
        <v>539.44000000000005</v>
      </c>
      <c r="F13" s="121">
        <v>19058.72</v>
      </c>
      <c r="G13" s="120">
        <f t="shared" ref="G13:G36" si="2">SUM(C13:F13)</f>
        <v>43631.4</v>
      </c>
      <c r="H13" s="120">
        <f t="shared" ref="H13:H36" si="3">C13-B13+E13+F13</f>
        <v>27114.770000000004</v>
      </c>
      <c r="I13" s="115" t="s">
        <v>181</v>
      </c>
      <c r="J13">
        <f t="shared" si="0"/>
        <v>0.70289071233132339</v>
      </c>
      <c r="K13" s="115" t="s">
        <v>181</v>
      </c>
      <c r="L13">
        <f t="shared" ref="L13:L37" si="4">B13/C13</f>
        <v>0.54490655781476005</v>
      </c>
    </row>
    <row r="14" spans="1:12" x14ac:dyDescent="0.2">
      <c r="A14" s="115" t="s">
        <v>182</v>
      </c>
      <c r="B14" s="121">
        <v>3183.26</v>
      </c>
      <c r="C14" s="119">
        <v>3346.8</v>
      </c>
      <c r="D14" s="119">
        <f t="shared" si="1"/>
        <v>163.53999999999996</v>
      </c>
      <c r="E14" s="121">
        <v>1072.93</v>
      </c>
      <c r="F14" s="121">
        <v>26143.51</v>
      </c>
      <c r="G14" s="120">
        <f t="shared" si="2"/>
        <v>30726.78</v>
      </c>
      <c r="H14" s="120">
        <f t="shared" si="3"/>
        <v>27379.98</v>
      </c>
      <c r="I14" s="115" t="s">
        <v>182</v>
      </c>
      <c r="J14">
        <f t="shared" si="0"/>
        <v>0.95484036146118434</v>
      </c>
      <c r="K14" s="115" t="s">
        <v>182</v>
      </c>
      <c r="L14">
        <f t="shared" si="4"/>
        <v>0.95113541293175574</v>
      </c>
    </row>
    <row r="15" spans="1:12" x14ac:dyDescent="0.2">
      <c r="A15" s="115" t="s">
        <v>183</v>
      </c>
      <c r="B15" s="122">
        <v>24393</v>
      </c>
      <c r="C15" s="122">
        <v>129575</v>
      </c>
      <c r="D15" s="119">
        <f t="shared" si="1"/>
        <v>105182</v>
      </c>
      <c r="E15" s="122">
        <v>5649</v>
      </c>
      <c r="F15" s="122">
        <v>227550</v>
      </c>
      <c r="G15" s="120">
        <f t="shared" si="2"/>
        <v>467956</v>
      </c>
      <c r="H15" s="120">
        <f t="shared" si="3"/>
        <v>338381</v>
      </c>
      <c r="I15" s="115" t="s">
        <v>184</v>
      </c>
      <c r="J15">
        <f t="shared" si="0"/>
        <v>0.67246683472180768</v>
      </c>
      <c r="K15" s="115" t="s">
        <v>184</v>
      </c>
      <c r="L15">
        <f t="shared" si="4"/>
        <v>0.18825390700366584</v>
      </c>
    </row>
    <row r="16" spans="1:12" x14ac:dyDescent="0.2">
      <c r="A16" s="115" t="s">
        <v>185</v>
      </c>
      <c r="B16" s="121">
        <v>206.55</v>
      </c>
      <c r="C16" s="121">
        <v>681.37</v>
      </c>
      <c r="D16" s="119">
        <f t="shared" si="1"/>
        <v>474.82</v>
      </c>
      <c r="E16" s="121">
        <v>5.34</v>
      </c>
      <c r="F16" s="121">
        <v>3082.14</v>
      </c>
      <c r="G16" s="120">
        <f t="shared" si="2"/>
        <v>4243.67</v>
      </c>
      <c r="H16" s="120">
        <f t="shared" si="3"/>
        <v>3562.2999999999997</v>
      </c>
      <c r="I16" s="115" t="s">
        <v>185</v>
      </c>
      <c r="J16">
        <f t="shared" si="0"/>
        <v>0.86521067849423128</v>
      </c>
      <c r="K16" s="115" t="s">
        <v>185</v>
      </c>
      <c r="L16">
        <f t="shared" si="4"/>
        <v>0.30313926354256865</v>
      </c>
    </row>
    <row r="17" spans="1:12" x14ac:dyDescent="0.2">
      <c r="A17" s="115" t="s">
        <v>186</v>
      </c>
      <c r="B17" s="121">
        <v>5627.52</v>
      </c>
      <c r="C17" s="121">
        <v>9685.5300000000007</v>
      </c>
      <c r="D17" s="119">
        <f t="shared" si="1"/>
        <v>4058.01</v>
      </c>
      <c r="E17" s="119">
        <v>531.5</v>
      </c>
      <c r="F17" s="121">
        <v>18231.689999999999</v>
      </c>
      <c r="G17" s="120">
        <f t="shared" si="2"/>
        <v>32506.73</v>
      </c>
      <c r="H17" s="120">
        <f t="shared" si="3"/>
        <v>22821.199999999997</v>
      </c>
      <c r="I17" s="115" t="s">
        <v>186</v>
      </c>
      <c r="J17">
        <f t="shared" si="0"/>
        <v>0.79889269626487658</v>
      </c>
      <c r="K17" s="115" t="s">
        <v>186</v>
      </c>
      <c r="L17">
        <f t="shared" si="4"/>
        <v>0.58102344425137298</v>
      </c>
    </row>
    <row r="18" spans="1:12" x14ac:dyDescent="0.2">
      <c r="A18" s="115" t="s">
        <v>187</v>
      </c>
      <c r="B18" s="121">
        <v>416.39</v>
      </c>
      <c r="C18" s="121">
        <v>2589.36</v>
      </c>
      <c r="D18" s="119">
        <f t="shared" si="1"/>
        <v>2172.9700000000003</v>
      </c>
      <c r="E18" s="121">
        <v>329.24</v>
      </c>
      <c r="F18" s="121">
        <v>8366.06</v>
      </c>
      <c r="G18" s="120">
        <f t="shared" si="2"/>
        <v>13457.63</v>
      </c>
      <c r="H18" s="120">
        <f t="shared" si="3"/>
        <v>10868.27</v>
      </c>
      <c r="I18" s="115" t="s">
        <v>187</v>
      </c>
      <c r="J18">
        <f t="shared" si="0"/>
        <v>0.76976924570331795</v>
      </c>
      <c r="K18" s="115" t="s">
        <v>187</v>
      </c>
      <c r="L18">
        <f t="shared" si="4"/>
        <v>0.16080807612691939</v>
      </c>
    </row>
    <row r="19" spans="1:12" x14ac:dyDescent="0.2">
      <c r="A19" s="115" t="s">
        <v>188</v>
      </c>
      <c r="B19" s="119">
        <v>23127.599999999999</v>
      </c>
      <c r="C19" s="119">
        <v>41536.6</v>
      </c>
      <c r="D19" s="119">
        <f t="shared" si="1"/>
        <v>18409</v>
      </c>
      <c r="E19" s="119">
        <v>8226.7999999999993</v>
      </c>
      <c r="F19" s="119">
        <v>87981.2</v>
      </c>
      <c r="G19" s="120">
        <f t="shared" si="2"/>
        <v>156153.59999999998</v>
      </c>
      <c r="H19" s="120">
        <f t="shared" si="3"/>
        <v>114617</v>
      </c>
      <c r="I19" s="115" t="s">
        <v>188</v>
      </c>
      <c r="J19">
        <f t="shared" si="0"/>
        <v>0.76761038938377379</v>
      </c>
      <c r="K19" s="115" t="s">
        <v>188</v>
      </c>
      <c r="L19">
        <f t="shared" si="4"/>
        <v>0.55680050846723128</v>
      </c>
    </row>
    <row r="20" spans="1:12" x14ac:dyDescent="0.2">
      <c r="A20" s="115" t="s">
        <v>189</v>
      </c>
      <c r="B20" s="121">
        <v>47514.95</v>
      </c>
      <c r="C20" s="121">
        <v>71393.919999999998</v>
      </c>
      <c r="D20" s="119">
        <f t="shared" si="1"/>
        <v>23878.97</v>
      </c>
      <c r="E20" s="122">
        <v>18702</v>
      </c>
      <c r="F20" s="122">
        <v>221610</v>
      </c>
      <c r="G20" s="120">
        <f t="shared" si="2"/>
        <v>335584.89</v>
      </c>
      <c r="H20" s="120">
        <f t="shared" si="3"/>
        <v>264190.96999999997</v>
      </c>
      <c r="I20" s="123" t="s">
        <v>189</v>
      </c>
      <c r="J20" s="124">
        <f t="shared" si="0"/>
        <v>0.83882503629855332</v>
      </c>
      <c r="K20" s="115" t="s">
        <v>189</v>
      </c>
      <c r="L20">
        <f t="shared" si="4"/>
        <v>0.66553216296289652</v>
      </c>
    </row>
    <row r="21" spans="1:12" x14ac:dyDescent="0.2">
      <c r="A21" s="115" t="s">
        <v>190</v>
      </c>
      <c r="B21" s="121">
        <v>918.31</v>
      </c>
      <c r="C21" s="121">
        <v>1801.78</v>
      </c>
      <c r="D21" s="119">
        <f t="shared" si="1"/>
        <v>883.47</v>
      </c>
      <c r="E21" s="121">
        <v>242.96</v>
      </c>
      <c r="F21" s="121">
        <v>5151.97</v>
      </c>
      <c r="G21" s="120">
        <f t="shared" si="2"/>
        <v>8080.18</v>
      </c>
      <c r="H21" s="120">
        <f t="shared" si="3"/>
        <v>6278.4000000000005</v>
      </c>
      <c r="I21" s="125" t="s">
        <v>191</v>
      </c>
      <c r="J21" s="124">
        <f>(F20-3000)/H20</f>
        <v>0.82746961412042219</v>
      </c>
      <c r="K21" s="115" t="s">
        <v>190</v>
      </c>
      <c r="L21">
        <f t="shared" si="4"/>
        <v>0.50966821698542553</v>
      </c>
    </row>
    <row r="22" spans="1:12" x14ac:dyDescent="0.2">
      <c r="A22" s="115" t="s">
        <v>192</v>
      </c>
      <c r="B22" s="119">
        <v>39699.9</v>
      </c>
      <c r="C22" s="119">
        <v>57447.9</v>
      </c>
      <c r="D22" s="119">
        <f t="shared" si="1"/>
        <v>17748</v>
      </c>
      <c r="E22" s="119">
        <v>9075.7000000000007</v>
      </c>
      <c r="F22" s="119">
        <v>122273.9</v>
      </c>
      <c r="G22" s="120">
        <f t="shared" si="2"/>
        <v>206545.5</v>
      </c>
      <c r="H22" s="120">
        <f t="shared" si="3"/>
        <v>149097.60000000001</v>
      </c>
      <c r="I22" s="115" t="s">
        <v>190</v>
      </c>
      <c r="J22">
        <f t="shared" ref="J22:J38" si="5">F21/H21</f>
        <v>0.82058645514780837</v>
      </c>
      <c r="K22" s="115" t="s">
        <v>192</v>
      </c>
      <c r="L22">
        <f t="shared" si="4"/>
        <v>0.69105920320847236</v>
      </c>
    </row>
    <row r="23" spans="1:12" x14ac:dyDescent="0.2">
      <c r="A23" s="115" t="s">
        <v>193</v>
      </c>
      <c r="B23" s="121">
        <v>1003.22</v>
      </c>
      <c r="C23" s="121">
        <v>1446.17</v>
      </c>
      <c r="D23" s="119">
        <f t="shared" si="1"/>
        <v>442.95000000000005</v>
      </c>
      <c r="E23" s="121">
        <v>19.13</v>
      </c>
      <c r="F23" s="121">
        <v>1718.48</v>
      </c>
      <c r="G23" s="120">
        <f t="shared" si="2"/>
        <v>3626.7300000000005</v>
      </c>
      <c r="H23" s="120">
        <f t="shared" si="3"/>
        <v>2180.56</v>
      </c>
      <c r="I23" s="115" t="s">
        <v>192</v>
      </c>
      <c r="J23">
        <f t="shared" si="5"/>
        <v>0.82009301289893322</v>
      </c>
      <c r="K23" s="115" t="s">
        <v>193</v>
      </c>
      <c r="L23">
        <f t="shared" si="4"/>
        <v>0.69370820857852122</v>
      </c>
    </row>
    <row r="24" spans="1:12" x14ac:dyDescent="0.2">
      <c r="A24" s="115" t="s">
        <v>194</v>
      </c>
      <c r="B24" s="121">
        <v>1587.59</v>
      </c>
      <c r="C24" s="121">
        <v>2140.1799999999998</v>
      </c>
      <c r="D24" s="119">
        <f t="shared" si="1"/>
        <v>552.58999999999992</v>
      </c>
      <c r="E24" s="119">
        <v>19.2</v>
      </c>
      <c r="F24" s="119">
        <v>2540.1999999999998</v>
      </c>
      <c r="G24" s="120">
        <f t="shared" si="2"/>
        <v>5252.1699999999992</v>
      </c>
      <c r="H24" s="120">
        <f t="shared" si="3"/>
        <v>3111.99</v>
      </c>
      <c r="I24" s="115" t="s">
        <v>193</v>
      </c>
      <c r="J24">
        <f t="shared" si="5"/>
        <v>0.7880911325531057</v>
      </c>
      <c r="K24" s="115" t="s">
        <v>194</v>
      </c>
      <c r="L24">
        <f t="shared" si="4"/>
        <v>0.74180209141287179</v>
      </c>
    </row>
    <row r="25" spans="1:12" x14ac:dyDescent="0.2">
      <c r="A25" s="115" t="s">
        <v>195</v>
      </c>
      <c r="B25" s="121">
        <v>826.62</v>
      </c>
      <c r="C25" s="121">
        <v>2166.85</v>
      </c>
      <c r="D25" s="119">
        <f t="shared" si="1"/>
        <v>1340.23</v>
      </c>
      <c r="E25" s="121">
        <v>249.13</v>
      </c>
      <c r="F25" s="122">
        <v>5740</v>
      </c>
      <c r="G25" s="120">
        <f t="shared" si="2"/>
        <v>9496.2099999999991</v>
      </c>
      <c r="H25" s="120">
        <f t="shared" si="3"/>
        <v>7329.3600000000006</v>
      </c>
      <c r="I25" s="115" t="s">
        <v>194</v>
      </c>
      <c r="J25">
        <f t="shared" si="5"/>
        <v>0.81626226305354455</v>
      </c>
      <c r="K25" s="115" t="s">
        <v>195</v>
      </c>
      <c r="L25">
        <f t="shared" si="4"/>
        <v>0.3814846436070794</v>
      </c>
    </row>
    <row r="26" spans="1:12" x14ac:dyDescent="0.2">
      <c r="A26" s="115" t="s">
        <v>196</v>
      </c>
      <c r="B26" s="121">
        <v>993.79</v>
      </c>
      <c r="C26" s="121">
        <v>2386.91</v>
      </c>
      <c r="D26" s="119">
        <f t="shared" si="1"/>
        <v>1393.12</v>
      </c>
      <c r="E26" s="121">
        <v>119.11</v>
      </c>
      <c r="F26" s="119">
        <v>11619.8</v>
      </c>
      <c r="G26" s="120">
        <f t="shared" si="2"/>
        <v>15518.939999999999</v>
      </c>
      <c r="H26" s="120">
        <f t="shared" si="3"/>
        <v>13132.029999999999</v>
      </c>
      <c r="I26" s="115" t="s">
        <v>195</v>
      </c>
      <c r="J26">
        <f t="shared" si="5"/>
        <v>0.7831515985024613</v>
      </c>
      <c r="K26" s="115" t="s">
        <v>196</v>
      </c>
      <c r="L26">
        <f t="shared" si="4"/>
        <v>0.41635000900746155</v>
      </c>
    </row>
    <row r="27" spans="1:12" x14ac:dyDescent="0.2">
      <c r="A27" s="115" t="s">
        <v>197</v>
      </c>
      <c r="B27" s="122">
        <v>27976</v>
      </c>
      <c r="C27" s="122">
        <v>50712</v>
      </c>
      <c r="D27" s="119">
        <f t="shared" si="1"/>
        <v>22736</v>
      </c>
      <c r="E27" s="122">
        <v>620</v>
      </c>
      <c r="F27" s="122">
        <v>57425</v>
      </c>
      <c r="G27" s="120">
        <f t="shared" si="2"/>
        <v>131493</v>
      </c>
      <c r="H27" s="120">
        <f t="shared" si="3"/>
        <v>80781</v>
      </c>
      <c r="I27" s="115" t="s">
        <v>196</v>
      </c>
      <c r="J27">
        <f t="shared" si="5"/>
        <v>0.88484415585404541</v>
      </c>
      <c r="K27" s="115" t="s">
        <v>197</v>
      </c>
      <c r="L27">
        <f t="shared" si="4"/>
        <v>0.5516643003628332</v>
      </c>
    </row>
    <row r="28" spans="1:12" x14ac:dyDescent="0.2">
      <c r="A28" s="115" t="s">
        <v>198</v>
      </c>
      <c r="B28" s="121">
        <v>13131.14</v>
      </c>
      <c r="C28" s="121">
        <v>26377.33</v>
      </c>
      <c r="D28" s="119">
        <f t="shared" si="1"/>
        <v>13246.190000000002</v>
      </c>
      <c r="E28" s="119">
        <v>894.4</v>
      </c>
      <c r="F28" s="121">
        <v>29293.62</v>
      </c>
      <c r="G28" s="120">
        <f t="shared" si="2"/>
        <v>69811.540000000008</v>
      </c>
      <c r="H28" s="120">
        <f t="shared" si="3"/>
        <v>43434.21</v>
      </c>
      <c r="I28" s="115" t="s">
        <v>197</v>
      </c>
      <c r="J28">
        <f t="shared" si="5"/>
        <v>0.71087260618214676</v>
      </c>
      <c r="K28" s="115" t="s">
        <v>198</v>
      </c>
      <c r="L28">
        <f t="shared" si="4"/>
        <v>0.49781915000494736</v>
      </c>
    </row>
    <row r="29" spans="1:12" x14ac:dyDescent="0.2">
      <c r="A29" s="115" t="s">
        <v>199</v>
      </c>
      <c r="B29" s="121">
        <v>17746.54</v>
      </c>
      <c r="C29" s="121">
        <v>37474.07</v>
      </c>
      <c r="D29" s="119">
        <f t="shared" si="1"/>
        <v>19727.53</v>
      </c>
      <c r="E29" s="121">
        <v>6531.84</v>
      </c>
      <c r="F29" s="121">
        <v>36647.730000000003</v>
      </c>
      <c r="G29" s="120">
        <f t="shared" si="2"/>
        <v>100381.17000000001</v>
      </c>
      <c r="H29" s="120">
        <f t="shared" si="3"/>
        <v>62907.100000000006</v>
      </c>
      <c r="I29" s="115" t="s">
        <v>198</v>
      </c>
      <c r="J29">
        <f t="shared" si="5"/>
        <v>0.67443657890865283</v>
      </c>
      <c r="K29" s="115" t="s">
        <v>199</v>
      </c>
      <c r="L29">
        <f t="shared" si="4"/>
        <v>0.4735685235150599</v>
      </c>
    </row>
    <row r="30" spans="1:12" x14ac:dyDescent="0.2">
      <c r="A30" s="115" t="s">
        <v>200</v>
      </c>
      <c r="B30" s="121">
        <v>4096.3500000000004</v>
      </c>
      <c r="C30" s="121">
        <v>7017.28</v>
      </c>
      <c r="D30" s="119">
        <f t="shared" si="1"/>
        <v>2920.9299999999994</v>
      </c>
      <c r="E30" s="121">
        <v>267.87</v>
      </c>
      <c r="F30" s="121">
        <v>12308.66</v>
      </c>
      <c r="G30" s="120">
        <f t="shared" si="2"/>
        <v>22514.739999999998</v>
      </c>
      <c r="H30" s="120">
        <f t="shared" si="3"/>
        <v>15497.46</v>
      </c>
      <c r="I30" s="115" t="s">
        <v>199</v>
      </c>
      <c r="J30">
        <f t="shared" si="5"/>
        <v>0.58256905818262172</v>
      </c>
      <c r="K30" s="115" t="s">
        <v>200</v>
      </c>
      <c r="L30">
        <f t="shared" si="4"/>
        <v>0.58375182406858506</v>
      </c>
    </row>
    <row r="31" spans="1:12" x14ac:dyDescent="0.2">
      <c r="A31" s="115" t="s">
        <v>201</v>
      </c>
      <c r="B31" s="121">
        <v>632.65</v>
      </c>
      <c r="C31" s="121">
        <v>3499.79</v>
      </c>
      <c r="D31" s="119">
        <f t="shared" si="1"/>
        <v>2867.14</v>
      </c>
      <c r="E31" s="121">
        <v>1502.27</v>
      </c>
      <c r="F31" s="121">
        <v>23814.63</v>
      </c>
      <c r="G31" s="120">
        <f t="shared" si="2"/>
        <v>31683.83</v>
      </c>
      <c r="H31" s="120">
        <f t="shared" si="3"/>
        <v>28184.04</v>
      </c>
      <c r="I31" s="115" t="s">
        <v>200</v>
      </c>
      <c r="J31">
        <f t="shared" si="5"/>
        <v>0.79423724920083683</v>
      </c>
      <c r="K31" s="115" t="s">
        <v>201</v>
      </c>
      <c r="L31">
        <f t="shared" si="4"/>
        <v>0.18076798893647905</v>
      </c>
    </row>
    <row r="32" spans="1:12" x14ac:dyDescent="0.2">
      <c r="A32" s="115" t="s">
        <v>202</v>
      </c>
      <c r="B32" s="121">
        <v>2013.82</v>
      </c>
      <c r="C32" s="119">
        <v>3720.9</v>
      </c>
      <c r="D32" s="119">
        <f t="shared" si="1"/>
        <v>1707.0800000000002</v>
      </c>
      <c r="E32" s="121">
        <v>40.44</v>
      </c>
      <c r="F32" s="121">
        <v>3141.92</v>
      </c>
      <c r="G32" s="120">
        <f t="shared" si="2"/>
        <v>8610.34</v>
      </c>
      <c r="H32" s="120">
        <f t="shared" si="3"/>
        <v>4889.4400000000005</v>
      </c>
      <c r="I32" s="115" t="s">
        <v>201</v>
      </c>
      <c r="J32">
        <f t="shared" si="5"/>
        <v>0.84496864182707665</v>
      </c>
      <c r="K32" s="115" t="s">
        <v>202</v>
      </c>
      <c r="L32">
        <f t="shared" si="4"/>
        <v>0.54121852240049451</v>
      </c>
    </row>
    <row r="33" spans="1:12" x14ac:dyDescent="0.2">
      <c r="A33" s="115" t="s">
        <v>203</v>
      </c>
      <c r="B33" s="121">
        <v>5042.62</v>
      </c>
      <c r="C33" s="121">
        <v>8172.95</v>
      </c>
      <c r="D33" s="119">
        <f t="shared" si="1"/>
        <v>3130.33</v>
      </c>
      <c r="E33" s="121">
        <v>676.81</v>
      </c>
      <c r="F33" s="121">
        <v>7577.33</v>
      </c>
      <c r="G33" s="120">
        <f t="shared" si="2"/>
        <v>19557.419999999998</v>
      </c>
      <c r="H33" s="120">
        <f t="shared" si="3"/>
        <v>11384.47</v>
      </c>
      <c r="I33" s="115" t="s">
        <v>202</v>
      </c>
      <c r="J33">
        <f t="shared" si="5"/>
        <v>0.64259301678719849</v>
      </c>
      <c r="K33" s="115" t="s">
        <v>203</v>
      </c>
      <c r="L33">
        <f t="shared" si="4"/>
        <v>0.61698896971105899</v>
      </c>
    </row>
    <row r="34" spans="1:12" x14ac:dyDescent="0.2">
      <c r="A34" s="115" t="s">
        <v>204</v>
      </c>
      <c r="B34" s="121">
        <v>3895.69</v>
      </c>
      <c r="C34" s="119">
        <v>9551.9</v>
      </c>
      <c r="D34" s="119">
        <f t="shared" si="1"/>
        <v>5656.2099999999991</v>
      </c>
      <c r="E34" s="122">
        <v>401</v>
      </c>
      <c r="F34" s="121">
        <v>29338.28</v>
      </c>
      <c r="G34" s="120">
        <f t="shared" si="2"/>
        <v>44947.39</v>
      </c>
      <c r="H34" s="120">
        <f t="shared" si="3"/>
        <v>35395.49</v>
      </c>
      <c r="I34" s="115" t="s">
        <v>203</v>
      </c>
      <c r="J34">
        <f t="shared" si="5"/>
        <v>0.66558478348135663</v>
      </c>
      <c r="K34" s="115" t="s">
        <v>204</v>
      </c>
      <c r="L34">
        <f t="shared" si="4"/>
        <v>0.40784451261005666</v>
      </c>
    </row>
    <row r="35" spans="1:12" x14ac:dyDescent="0.2">
      <c r="A35" s="115" t="s">
        <v>205</v>
      </c>
      <c r="B35" s="121">
        <v>4176.5600000000004</v>
      </c>
      <c r="C35" s="121">
        <v>24680.93</v>
      </c>
      <c r="D35" s="119">
        <f t="shared" si="1"/>
        <v>20504.37</v>
      </c>
      <c r="E35" s="121">
        <v>22.93</v>
      </c>
      <c r="F35" s="121">
        <v>51479.76</v>
      </c>
      <c r="G35" s="120">
        <f t="shared" si="2"/>
        <v>96687.99</v>
      </c>
      <c r="H35" s="120">
        <f t="shared" si="3"/>
        <v>72007.06</v>
      </c>
      <c r="I35" s="115" t="s">
        <v>204</v>
      </c>
      <c r="J35">
        <f t="shared" si="5"/>
        <v>0.82887057079870907</v>
      </c>
      <c r="K35" s="115" t="s">
        <v>205</v>
      </c>
      <c r="L35">
        <f t="shared" si="4"/>
        <v>0.16922214843605976</v>
      </c>
    </row>
    <row r="36" spans="1:12" x14ac:dyDescent="0.2">
      <c r="A36" s="115" t="s">
        <v>206</v>
      </c>
      <c r="B36" s="121">
        <v>112522.47</v>
      </c>
      <c r="C36" s="121">
        <v>167539.62</v>
      </c>
      <c r="D36" s="119">
        <f t="shared" si="1"/>
        <v>55017.149999999994</v>
      </c>
      <c r="E36" s="121">
        <v>2133.21</v>
      </c>
      <c r="F36" s="121">
        <v>207649.42</v>
      </c>
      <c r="G36" s="120">
        <f t="shared" si="2"/>
        <v>432339.4</v>
      </c>
      <c r="H36" s="120">
        <f t="shared" si="3"/>
        <v>264799.78000000003</v>
      </c>
      <c r="I36" s="115" t="s">
        <v>205</v>
      </c>
      <c r="J36">
        <f t="shared" si="5"/>
        <v>0.71492656414523803</v>
      </c>
      <c r="K36" s="115" t="s">
        <v>206</v>
      </c>
      <c r="L36">
        <f t="shared" si="4"/>
        <v>0.67161707779926927</v>
      </c>
    </row>
    <row r="37" spans="1:12" x14ac:dyDescent="0.2">
      <c r="A37" s="116" t="s">
        <v>207</v>
      </c>
      <c r="B37" s="120">
        <f t="shared" ref="B37:H37" si="6">SUM(B12:B36)</f>
        <v>374560.46</v>
      </c>
      <c r="C37" s="120">
        <f t="shared" si="6"/>
        <v>714272.47000000009</v>
      </c>
      <c r="D37" s="120">
        <f t="shared" si="6"/>
        <v>339712.01</v>
      </c>
      <c r="E37" s="120">
        <f t="shared" si="6"/>
        <v>58101.95</v>
      </c>
      <c r="F37" s="120">
        <f t="shared" si="6"/>
        <v>1259702.22</v>
      </c>
      <c r="G37" s="120">
        <f t="shared" si="6"/>
        <v>2371788.65</v>
      </c>
      <c r="H37" s="120">
        <f t="shared" si="6"/>
        <v>1657516.18</v>
      </c>
      <c r="I37" s="115" t="s">
        <v>206</v>
      </c>
      <c r="J37">
        <f t="shared" si="5"/>
        <v>0.78417519833286864</v>
      </c>
      <c r="K37" s="116" t="s">
        <v>207</v>
      </c>
      <c r="L37">
        <f t="shared" si="4"/>
        <v>0.52439436732035882</v>
      </c>
    </row>
    <row r="38" spans="1:12" x14ac:dyDescent="0.2">
      <c r="A38" s="113" t="s">
        <v>214</v>
      </c>
      <c r="C38">
        <f>Canada!BO37</f>
        <v>49022</v>
      </c>
      <c r="D38" s="119">
        <f t="shared" si="1"/>
        <v>49022</v>
      </c>
      <c r="E38">
        <v>0</v>
      </c>
      <c r="F38">
        <f>Canada!BT37</f>
        <v>316461</v>
      </c>
      <c r="G38" s="136">
        <f>C38+E38+F38</f>
        <v>365483</v>
      </c>
      <c r="H38" s="126">
        <f>F37/H37</f>
        <v>0.75999392054200043</v>
      </c>
      <c r="I38" s="116" t="s">
        <v>208</v>
      </c>
      <c r="J38">
        <f t="shared" si="5"/>
        <v>0.75999392054200043</v>
      </c>
    </row>
    <row r="39" spans="1:12" x14ac:dyDescent="0.2">
      <c r="A39" s="113" t="s">
        <v>217</v>
      </c>
      <c r="B39" s="113" t="s">
        <v>209</v>
      </c>
      <c r="C39">
        <f>USA!BM37</f>
        <v>302908.89999999997</v>
      </c>
      <c r="D39" s="119">
        <f>C39</f>
        <v>302908.89999999997</v>
      </c>
      <c r="F39">
        <f>USA!BT37</f>
        <v>1438373.3</v>
      </c>
      <c r="G39" s="136">
        <f>C39+E39+F39</f>
        <v>1741282.2</v>
      </c>
      <c r="H39" s="126"/>
    </row>
    <row r="40" spans="1:12" x14ac:dyDescent="0.2">
      <c r="I40" s="126"/>
      <c r="J40" s="126" t="s">
        <v>178</v>
      </c>
    </row>
    <row r="41" spans="1:12" x14ac:dyDescent="0.2">
      <c r="I41" s="126" t="s">
        <v>199</v>
      </c>
      <c r="J41" s="126">
        <v>0.58256905818262172</v>
      </c>
    </row>
    <row r="42" spans="1:12" ht="5.25" hidden="1" customHeight="1" x14ac:dyDescent="0.2">
      <c r="I42" s="126" t="s">
        <v>202</v>
      </c>
      <c r="J42" s="126">
        <v>0.64259301678719849</v>
      </c>
    </row>
    <row r="43" spans="1:12" x14ac:dyDescent="0.2">
      <c r="I43" s="126" t="s">
        <v>203</v>
      </c>
      <c r="J43" s="126">
        <v>0.66558478348135663</v>
      </c>
    </row>
    <row r="44" spans="1:12" x14ac:dyDescent="0.2">
      <c r="I44" s="126" t="s">
        <v>184</v>
      </c>
      <c r="J44" s="126">
        <v>0.67246683472180768</v>
      </c>
    </row>
    <row r="45" spans="1:12" x14ac:dyDescent="0.2">
      <c r="I45" s="126" t="s">
        <v>198</v>
      </c>
      <c r="J45" s="126">
        <v>0.67443657890865283</v>
      </c>
    </row>
    <row r="46" spans="1:12" x14ac:dyDescent="0.2">
      <c r="I46" s="126" t="s">
        <v>181</v>
      </c>
      <c r="J46" s="126">
        <v>0.70289071233132339</v>
      </c>
    </row>
    <row r="47" spans="1:12" x14ac:dyDescent="0.2">
      <c r="I47" s="126" t="s">
        <v>197</v>
      </c>
      <c r="J47" s="126">
        <v>0.71087260618214676</v>
      </c>
    </row>
    <row r="48" spans="1:12" x14ac:dyDescent="0.2">
      <c r="I48" s="126" t="s">
        <v>205</v>
      </c>
      <c r="J48" s="126">
        <v>0.71492656414523803</v>
      </c>
    </row>
    <row r="49" spans="9:10" x14ac:dyDescent="0.2">
      <c r="I49" s="126" t="s">
        <v>210</v>
      </c>
      <c r="J49" s="126">
        <v>0.75999392054200032</v>
      </c>
    </row>
    <row r="50" spans="9:10" x14ac:dyDescent="0.2">
      <c r="I50" s="126" t="s">
        <v>188</v>
      </c>
      <c r="J50" s="126">
        <v>0.76761038938377379</v>
      </c>
    </row>
    <row r="51" spans="9:10" x14ac:dyDescent="0.2">
      <c r="I51" s="126" t="s">
        <v>187</v>
      </c>
      <c r="J51" s="126">
        <v>0.76976924570331795</v>
      </c>
    </row>
    <row r="52" spans="9:10" x14ac:dyDescent="0.2">
      <c r="I52" s="126" t="s">
        <v>195</v>
      </c>
      <c r="J52" s="126">
        <v>0.7831515985024613</v>
      </c>
    </row>
    <row r="53" spans="9:10" x14ac:dyDescent="0.2">
      <c r="I53" s="126" t="s">
        <v>211</v>
      </c>
      <c r="J53" s="126">
        <v>0.78417519833286864</v>
      </c>
    </row>
    <row r="54" spans="9:10" x14ac:dyDescent="0.2">
      <c r="I54" s="126" t="s">
        <v>193</v>
      </c>
      <c r="J54" s="126">
        <v>0.7880911325531057</v>
      </c>
    </row>
    <row r="55" spans="9:10" x14ac:dyDescent="0.2">
      <c r="I55" s="126" t="s">
        <v>200</v>
      </c>
      <c r="J55" s="126">
        <v>0.79423724920083683</v>
      </c>
    </row>
    <row r="56" spans="9:10" x14ac:dyDescent="0.2">
      <c r="I56" s="126" t="s">
        <v>186</v>
      </c>
      <c r="J56" s="126">
        <v>0.79889269626487658</v>
      </c>
    </row>
    <row r="57" spans="9:10" x14ac:dyDescent="0.2">
      <c r="I57" s="126" t="s">
        <v>194</v>
      </c>
      <c r="J57" s="126">
        <v>0.81626226305354455</v>
      </c>
    </row>
    <row r="58" spans="9:10" x14ac:dyDescent="0.2">
      <c r="I58" s="126" t="s">
        <v>192</v>
      </c>
      <c r="J58" s="126">
        <v>0.82009301289893322</v>
      </c>
    </row>
    <row r="59" spans="9:10" x14ac:dyDescent="0.2">
      <c r="I59" s="126" t="s">
        <v>190</v>
      </c>
      <c r="J59" s="126">
        <v>0.82058645514780837</v>
      </c>
    </row>
    <row r="60" spans="9:10" ht="14.25" x14ac:dyDescent="0.2">
      <c r="I60" s="127" t="s">
        <v>212</v>
      </c>
      <c r="J60" s="126">
        <v>0.82746961412042219</v>
      </c>
    </row>
    <row r="61" spans="9:10" x14ac:dyDescent="0.2">
      <c r="I61" s="126" t="s">
        <v>204</v>
      </c>
      <c r="J61" s="126">
        <v>0.82887057079870907</v>
      </c>
    </row>
    <row r="62" spans="9:10" x14ac:dyDescent="0.2">
      <c r="I62" s="126" t="s">
        <v>180</v>
      </c>
      <c r="J62" s="126">
        <v>0.82951254600825808</v>
      </c>
    </row>
    <row r="63" spans="9:10" x14ac:dyDescent="0.2">
      <c r="I63" s="126" t="s">
        <v>189</v>
      </c>
      <c r="J63" s="126">
        <v>0.83882503629855332</v>
      </c>
    </row>
    <row r="64" spans="9:10" x14ac:dyDescent="0.2">
      <c r="I64" s="126" t="s">
        <v>201</v>
      </c>
      <c r="J64" s="126">
        <v>0.84496864182707665</v>
      </c>
    </row>
    <row r="65" spans="9:12" x14ac:dyDescent="0.2">
      <c r="I65" s="126" t="s">
        <v>185</v>
      </c>
      <c r="J65" s="126">
        <v>0.86521067849423128</v>
      </c>
    </row>
    <row r="66" spans="9:12" x14ac:dyDescent="0.2">
      <c r="I66" s="126" t="s">
        <v>196</v>
      </c>
      <c r="J66" s="126">
        <v>0.88484415585404541</v>
      </c>
    </row>
    <row r="67" spans="9:12" x14ac:dyDescent="0.2">
      <c r="I67" s="126" t="s">
        <v>182</v>
      </c>
      <c r="J67" s="126">
        <v>0.95484036146118434</v>
      </c>
    </row>
    <row r="68" spans="9:12" ht="15" x14ac:dyDescent="0.25">
      <c r="I68" s="128" t="s">
        <v>213</v>
      </c>
      <c r="J68" s="128">
        <f>'[1]Etats-Unis'!BT37/('[1]Etats-Unis'!BM37+'[1]Etats-Unis'!BP37+'[1]Etats-Unis'!BT37-'[1]Etats-Unis'!AB37)</f>
        <v>0.8261613369454669</v>
      </c>
    </row>
    <row r="69" spans="9:12" ht="15" x14ac:dyDescent="0.25">
      <c r="I69" s="128" t="s">
        <v>214</v>
      </c>
      <c r="J69" s="128">
        <f>[1]Canada!BT37/([1]Canada!BO37+[1]Canada!BP37+[1]Canada!BT37-[1]Canada!AB37)</f>
        <v>0.86497131439910568</v>
      </c>
    </row>
    <row r="75" spans="9:12" ht="14.25" x14ac:dyDescent="0.2">
      <c r="L75" s="129" t="s">
        <v>215</v>
      </c>
    </row>
    <row r="76" spans="9:12" ht="1.5" customHeight="1" x14ac:dyDescent="0.2"/>
    <row r="77" spans="9:12" x14ac:dyDescent="0.2">
      <c r="I77" s="126"/>
      <c r="J77" s="126" t="s">
        <v>179</v>
      </c>
    </row>
    <row r="78" spans="9:12" x14ac:dyDescent="0.2">
      <c r="I78" s="126" t="s">
        <v>187</v>
      </c>
      <c r="J78" s="126">
        <v>0.16080807612691939</v>
      </c>
    </row>
    <row r="79" spans="9:12" x14ac:dyDescent="0.2">
      <c r="I79" s="126" t="s">
        <v>205</v>
      </c>
      <c r="J79" s="126">
        <v>0.16922214843605976</v>
      </c>
    </row>
    <row r="80" spans="9:12" x14ac:dyDescent="0.2">
      <c r="I80" s="126" t="s">
        <v>201</v>
      </c>
      <c r="J80" s="126">
        <v>0.18076798893647905</v>
      </c>
    </row>
    <row r="81" spans="9:10" x14ac:dyDescent="0.2">
      <c r="I81" s="126" t="s">
        <v>184</v>
      </c>
      <c r="J81" s="126">
        <v>0.18825390700366584</v>
      </c>
    </row>
    <row r="82" spans="9:10" x14ac:dyDescent="0.2">
      <c r="I82" s="126" t="s">
        <v>185</v>
      </c>
      <c r="J82" s="126">
        <v>0.30313926354256865</v>
      </c>
    </row>
    <row r="83" spans="9:10" x14ac:dyDescent="0.2">
      <c r="I83" s="126" t="s">
        <v>195</v>
      </c>
      <c r="J83" s="126">
        <v>0.3814846436070794</v>
      </c>
    </row>
    <row r="84" spans="9:10" x14ac:dyDescent="0.2">
      <c r="I84" s="126" t="s">
        <v>204</v>
      </c>
      <c r="J84" s="126">
        <v>0.40784451261005666</v>
      </c>
    </row>
    <row r="85" spans="9:10" x14ac:dyDescent="0.2">
      <c r="I85" s="126" t="s">
        <v>196</v>
      </c>
      <c r="J85" s="126">
        <v>0.41635000900746155</v>
      </c>
    </row>
    <row r="86" spans="9:10" x14ac:dyDescent="0.2">
      <c r="I86" s="126" t="s">
        <v>199</v>
      </c>
      <c r="J86" s="126">
        <v>0.4735685235150599</v>
      </c>
    </row>
    <row r="87" spans="9:10" x14ac:dyDescent="0.2">
      <c r="I87" s="126" t="s">
        <v>198</v>
      </c>
      <c r="J87" s="126">
        <v>0.49781915000494736</v>
      </c>
    </row>
    <row r="88" spans="9:10" x14ac:dyDescent="0.2">
      <c r="I88" s="126" t="s">
        <v>190</v>
      </c>
      <c r="J88" s="126">
        <v>0.50966821698542553</v>
      </c>
    </row>
    <row r="89" spans="9:10" x14ac:dyDescent="0.2">
      <c r="I89" s="126" t="s">
        <v>210</v>
      </c>
      <c r="J89" s="126">
        <v>0.52439436732035882</v>
      </c>
    </row>
    <row r="90" spans="9:10" x14ac:dyDescent="0.2">
      <c r="I90" s="126" t="s">
        <v>202</v>
      </c>
      <c r="J90" s="126">
        <v>0.54121852240049451</v>
      </c>
    </row>
    <row r="91" spans="9:10" x14ac:dyDescent="0.2">
      <c r="I91" s="126" t="s">
        <v>181</v>
      </c>
      <c r="J91" s="126">
        <v>0.54490655781476005</v>
      </c>
    </row>
    <row r="92" spans="9:10" x14ac:dyDescent="0.2">
      <c r="I92" s="126" t="s">
        <v>197</v>
      </c>
      <c r="J92" s="126">
        <v>0.5516643003628332</v>
      </c>
    </row>
    <row r="93" spans="9:10" x14ac:dyDescent="0.2">
      <c r="I93" s="126" t="s">
        <v>188</v>
      </c>
      <c r="J93" s="126">
        <v>0.55680050846723128</v>
      </c>
    </row>
    <row r="94" spans="9:10" x14ac:dyDescent="0.2">
      <c r="I94" s="126" t="s">
        <v>186</v>
      </c>
      <c r="J94" s="126">
        <v>0.58102344425137298</v>
      </c>
    </row>
    <row r="95" spans="9:10" x14ac:dyDescent="0.2">
      <c r="I95" s="126" t="s">
        <v>200</v>
      </c>
      <c r="J95" s="126">
        <v>0.58375182406858506</v>
      </c>
    </row>
    <row r="96" spans="9:10" x14ac:dyDescent="0.2">
      <c r="I96" s="126" t="s">
        <v>203</v>
      </c>
      <c r="J96" s="126">
        <v>0.61698896971105899</v>
      </c>
    </row>
    <row r="97" spans="9:12" x14ac:dyDescent="0.2">
      <c r="I97" s="126" t="s">
        <v>189</v>
      </c>
      <c r="J97" s="126">
        <v>0.66553216296289652</v>
      </c>
    </row>
    <row r="98" spans="9:12" x14ac:dyDescent="0.2">
      <c r="I98" s="126" t="s">
        <v>206</v>
      </c>
      <c r="J98" s="126">
        <v>0.67161707779926927</v>
      </c>
    </row>
    <row r="99" spans="9:12" x14ac:dyDescent="0.2">
      <c r="I99" s="126" t="s">
        <v>192</v>
      </c>
      <c r="J99" s="126">
        <v>0.69105920320847236</v>
      </c>
    </row>
    <row r="100" spans="9:12" x14ac:dyDescent="0.2">
      <c r="I100" s="126" t="s">
        <v>193</v>
      </c>
      <c r="J100" s="126">
        <v>0.69370820857852122</v>
      </c>
    </row>
    <row r="101" spans="9:12" x14ac:dyDescent="0.2">
      <c r="I101" s="126" t="s">
        <v>194</v>
      </c>
      <c r="J101" s="126">
        <v>0.74180209141287179</v>
      </c>
    </row>
    <row r="102" spans="9:12" x14ac:dyDescent="0.2">
      <c r="I102" s="126" t="s">
        <v>180</v>
      </c>
      <c r="J102" s="126">
        <v>0.75670131999622081</v>
      </c>
    </row>
    <row r="103" spans="9:12" x14ac:dyDescent="0.2">
      <c r="I103" s="126" t="s">
        <v>182</v>
      </c>
      <c r="J103" s="126">
        <v>0.95113541293175574</v>
      </c>
    </row>
    <row r="107" spans="9:12" x14ac:dyDescent="0.2">
      <c r="L107" t="s">
        <v>216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organisation du TES</vt:lpstr>
      <vt:lpstr>TEF</vt:lpstr>
      <vt:lpstr>TEF (2)</vt:lpstr>
      <vt:lpstr>TEI</vt:lpstr>
      <vt:lpstr>construction synthèse</vt:lpstr>
      <vt:lpstr>CSL</vt:lpstr>
      <vt:lpstr>SDES</vt:lpstr>
      <vt:lpstr>FFB 2022</vt:lpstr>
      <vt:lpstr>mondial</vt:lpstr>
      <vt:lpstr>synthése 43Z</vt:lpstr>
      <vt:lpstr>Feuil2</vt:lpstr>
      <vt:lpstr>synthèse 41B</vt:lpstr>
      <vt:lpstr>ERE HTD</vt:lpstr>
      <vt:lpstr>Canada</vt:lpstr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CAZANAVE Marie Thérèse</dc:creator>
  <cp:lastModifiedBy>pc</cp:lastModifiedBy>
  <cp:revision>3</cp:revision>
  <cp:lastPrinted>2010-01-05T16:36:30Z</cp:lastPrinted>
  <dcterms:created xsi:type="dcterms:W3CDTF">2006-01-23T12:03:06Z</dcterms:created>
  <dcterms:modified xsi:type="dcterms:W3CDTF">2024-05-03T15:54:13Z</dcterms:modified>
  <dc:language>fr-FR</dc:language>
</cp:coreProperties>
</file>